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sas\Dropbox\Lavoro\Susa Servizi Tributari S.r.l\COMUNI\PIMENTEL\PEF TARI 2026-2027\SIMULAZIONE\2026\"/>
    </mc:Choice>
  </mc:AlternateContent>
  <xr:revisionPtr revIDLastSave="0" documentId="13_ncr:1_{333E9ECD-4432-412B-9577-517344E36FAB}" xr6:coauthVersionLast="47" xr6:coauthVersionMax="47" xr10:uidLastSave="{00000000-0000-0000-0000-000000000000}"/>
  <bookViews>
    <workbookView xWindow="-120" yWindow="-120" windowWidth="38640" windowHeight="21120" tabRatio="893" activeTab="6" xr2:uid="{00000000-000D-0000-FFFF-FFFF00000000}"/>
  </bookViews>
  <sheets>
    <sheet name="PEF 2026" sheetId="18" r:id="rId1"/>
    <sheet name="Dati iniziali" sheetId="3" r:id="rId2"/>
    <sheet name="Produzione rifiuti teorica" sheetId="9" r:id="rId3"/>
    <sheet name="UD Scelta Coefficienti" sheetId="12" r:id="rId4"/>
    <sheet name="UD TF" sheetId="2" r:id="rId5"/>
    <sheet name="UD TV" sheetId="4" r:id="rId6"/>
    <sheet name="TARIFFE UD 2026" sheetId="5" r:id="rId7"/>
    <sheet name="UND Scelta Coefficienti" sheetId="11" r:id="rId8"/>
    <sheet name="UND TF" sheetId="1" r:id="rId9"/>
    <sheet name="UND TV" sheetId="7" r:id="rId10"/>
    <sheet name="TARIFFE UND 2026" sheetId="8" r:id="rId11"/>
    <sheet name="SCELTA COEFFICIENTI" sheetId="19" r:id="rId12"/>
    <sheet name="import Datagraph" sheetId="17" r:id="rId13"/>
  </sheets>
  <definedNames>
    <definedName name="_xlnm.Print_Area" localSheetId="10">'TARIFFE UND 2026'!$A$1:$L$23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" i="3" l="1"/>
  <c r="B7" i="3"/>
  <c r="F5" i="9"/>
  <c r="K8" i="5" l="1"/>
  <c r="E3" i="4"/>
  <c r="E4" i="4"/>
  <c r="C8" i="3"/>
  <c r="C7" i="3"/>
  <c r="K4" i="5"/>
  <c r="N4" i="5"/>
  <c r="K5" i="5"/>
  <c r="N5" i="5"/>
  <c r="K6" i="5"/>
  <c r="N6" i="5"/>
  <c r="K7" i="5"/>
  <c r="N7" i="5"/>
  <c r="N8" i="5"/>
  <c r="N3" i="5"/>
  <c r="D5" i="4"/>
  <c r="D6" i="4"/>
  <c r="D7" i="4"/>
  <c r="D8" i="4"/>
  <c r="D4" i="4"/>
  <c r="D3" i="4"/>
  <c r="C3" i="3"/>
  <c r="D29" i="9"/>
  <c r="C4" i="3"/>
  <c r="D12" i="3" s="1"/>
  <c r="D13" i="3" s="1"/>
  <c r="C29" i="9"/>
  <c r="S24" i="11"/>
  <c r="S22" i="11"/>
  <c r="S21" i="11"/>
  <c r="S20" i="11"/>
  <c r="S19" i="11"/>
  <c r="S18" i="11"/>
  <c r="S17" i="11"/>
  <c r="S16" i="11"/>
  <c r="S15" i="11"/>
  <c r="S14" i="11"/>
  <c r="S13" i="11"/>
  <c r="S12" i="11"/>
  <c r="S11" i="11"/>
  <c r="S10" i="11"/>
  <c r="S9" i="11"/>
  <c r="S8" i="11"/>
  <c r="S7" i="11"/>
  <c r="S6" i="11"/>
  <c r="H25" i="11"/>
  <c r="H24" i="11"/>
  <c r="J24" i="11"/>
  <c r="H23" i="11"/>
  <c r="H22" i="11"/>
  <c r="H21" i="11"/>
  <c r="H20" i="11"/>
  <c r="H19" i="11"/>
  <c r="H18" i="11"/>
  <c r="H17" i="11"/>
  <c r="H16" i="11"/>
  <c r="H15" i="11"/>
  <c r="H14" i="11"/>
  <c r="H13" i="11"/>
  <c r="H12" i="11"/>
  <c r="H11" i="11"/>
  <c r="H10" i="11"/>
  <c r="H9" i="11"/>
  <c r="H8" i="11"/>
  <c r="H7" i="11"/>
  <c r="H6" i="11"/>
  <c r="H5" i="11"/>
  <c r="J5" i="11"/>
  <c r="J25" i="11"/>
  <c r="J23" i="11"/>
  <c r="J22" i="11"/>
  <c r="J21" i="11"/>
  <c r="J20" i="11"/>
  <c r="J19" i="11"/>
  <c r="J18" i="11"/>
  <c r="J17" i="11"/>
  <c r="J16" i="11"/>
  <c r="J15" i="11"/>
  <c r="J14" i="11"/>
  <c r="J13" i="11"/>
  <c r="J12" i="11"/>
  <c r="J11" i="11"/>
  <c r="J10" i="11"/>
  <c r="J9" i="11"/>
  <c r="J8" i="11"/>
  <c r="J7" i="11"/>
  <c r="J6" i="11"/>
  <c r="P25" i="11"/>
  <c r="P24" i="11"/>
  <c r="P23" i="11"/>
  <c r="P22" i="11"/>
  <c r="P21" i="11"/>
  <c r="P20" i="11"/>
  <c r="P19" i="11"/>
  <c r="P18" i="11"/>
  <c r="P17" i="11"/>
  <c r="P16" i="11"/>
  <c r="P15" i="11"/>
  <c r="P14" i="11"/>
  <c r="P13" i="11"/>
  <c r="P12" i="11"/>
  <c r="P11" i="11"/>
  <c r="P10" i="11"/>
  <c r="P9" i="11"/>
  <c r="P8" i="11"/>
  <c r="P7" i="11"/>
  <c r="P6" i="11"/>
  <c r="P5" i="11"/>
  <c r="S5" i="11"/>
  <c r="S25" i="11"/>
  <c r="S23" i="11"/>
  <c r="C12" i="3"/>
  <c r="C13" i="3" s="1"/>
  <c r="C10" i="7"/>
  <c r="D10" i="7"/>
  <c r="D19" i="7"/>
  <c r="F19" i="7" s="1"/>
  <c r="K14" i="9"/>
  <c r="C19" i="7"/>
  <c r="C3" i="7"/>
  <c r="B3" i="2"/>
  <c r="B4" i="2"/>
  <c r="B3" i="4"/>
  <c r="C3" i="4"/>
  <c r="B4" i="4"/>
  <c r="C4" i="4" s="1"/>
  <c r="B5" i="4"/>
  <c r="C5" i="4"/>
  <c r="B8" i="4"/>
  <c r="C8" i="4" s="1"/>
  <c r="B7" i="4"/>
  <c r="C7" i="4" s="1"/>
  <c r="B6" i="4"/>
  <c r="C6" i="4"/>
  <c r="L14" i="9"/>
  <c r="K10" i="12"/>
  <c r="K9" i="12"/>
  <c r="K8" i="12"/>
  <c r="K7" i="12"/>
  <c r="K6" i="12"/>
  <c r="K5" i="12"/>
  <c r="J10" i="12"/>
  <c r="J9" i="12"/>
  <c r="J8" i="12"/>
  <c r="J7" i="12"/>
  <c r="J6" i="12"/>
  <c r="J5" i="12"/>
  <c r="C4" i="2"/>
  <c r="C5" i="2"/>
  <c r="C6" i="2"/>
  <c r="C7" i="2"/>
  <c r="C8" i="2"/>
  <c r="C3" i="2"/>
  <c r="B5" i="2"/>
  <c r="B6" i="2"/>
  <c r="B7" i="2"/>
  <c r="B8" i="2"/>
  <c r="D4" i="2"/>
  <c r="D5" i="2"/>
  <c r="D6" i="2"/>
  <c r="D7" i="2"/>
  <c r="D8" i="2"/>
  <c r="D3" i="2"/>
  <c r="D4" i="7"/>
  <c r="D7" i="7"/>
  <c r="D11" i="7"/>
  <c r="D12" i="7"/>
  <c r="D21" i="7"/>
  <c r="D3" i="7"/>
  <c r="C4" i="7"/>
  <c r="C7" i="7"/>
  <c r="C11" i="7"/>
  <c r="C12" i="7"/>
  <c r="D4" i="1"/>
  <c r="D7" i="1"/>
  <c r="D10" i="1"/>
  <c r="D11" i="1"/>
  <c r="D12" i="1"/>
  <c r="D19" i="1"/>
  <c r="D21" i="1"/>
  <c r="D3" i="1"/>
  <c r="C7" i="1"/>
  <c r="C10" i="1"/>
  <c r="C11" i="1"/>
  <c r="C12" i="1"/>
  <c r="C4" i="1"/>
  <c r="C3" i="1"/>
  <c r="E8" i="4"/>
  <c r="E5" i="4"/>
  <c r="E6" i="4"/>
  <c r="E7" i="4"/>
  <c r="G6" i="11"/>
  <c r="O25" i="11"/>
  <c r="N25" i="11"/>
  <c r="G25" i="11"/>
  <c r="F25" i="11"/>
  <c r="O24" i="11"/>
  <c r="N24" i="11"/>
  <c r="G24" i="11"/>
  <c r="F24" i="11"/>
  <c r="O23" i="11"/>
  <c r="N23" i="11"/>
  <c r="G23" i="11"/>
  <c r="F23" i="11"/>
  <c r="O22" i="11"/>
  <c r="N22" i="11"/>
  <c r="G22" i="11"/>
  <c r="F22" i="11"/>
  <c r="O21" i="11"/>
  <c r="N21" i="11"/>
  <c r="G21" i="11"/>
  <c r="F21" i="11"/>
  <c r="O20" i="11"/>
  <c r="N20" i="11"/>
  <c r="G20" i="11"/>
  <c r="F20" i="11"/>
  <c r="O19" i="11"/>
  <c r="N19" i="11"/>
  <c r="G19" i="11"/>
  <c r="F19" i="11"/>
  <c r="O18" i="11"/>
  <c r="N18" i="11"/>
  <c r="G18" i="11"/>
  <c r="F18" i="11"/>
  <c r="O17" i="11"/>
  <c r="N17" i="11"/>
  <c r="G17" i="11"/>
  <c r="F17" i="11"/>
  <c r="O16" i="11"/>
  <c r="N16" i="11"/>
  <c r="G16" i="11"/>
  <c r="F16" i="11"/>
  <c r="O15" i="11"/>
  <c r="N15" i="11"/>
  <c r="G15" i="11"/>
  <c r="F15" i="11"/>
  <c r="O14" i="11"/>
  <c r="N14" i="11"/>
  <c r="G14" i="11"/>
  <c r="F14" i="11"/>
  <c r="O13" i="11"/>
  <c r="N13" i="11"/>
  <c r="G13" i="11"/>
  <c r="F13" i="11"/>
  <c r="O12" i="11"/>
  <c r="N12" i="11"/>
  <c r="G12" i="11"/>
  <c r="F12" i="11"/>
  <c r="O11" i="11"/>
  <c r="N11" i="11"/>
  <c r="G11" i="11"/>
  <c r="F11" i="11"/>
  <c r="O10" i="11"/>
  <c r="N10" i="11"/>
  <c r="G10" i="11"/>
  <c r="F10" i="11"/>
  <c r="O9" i="11"/>
  <c r="N9" i="11"/>
  <c r="G9" i="11"/>
  <c r="F9" i="11"/>
  <c r="O8" i="11"/>
  <c r="N8" i="11"/>
  <c r="G8" i="11"/>
  <c r="F8" i="11"/>
  <c r="O7" i="11"/>
  <c r="N7" i="11"/>
  <c r="G7" i="11"/>
  <c r="F7" i="11"/>
  <c r="O6" i="11"/>
  <c r="N6" i="11"/>
  <c r="F6" i="11"/>
  <c r="O5" i="11"/>
  <c r="N5" i="11"/>
  <c r="G5" i="11"/>
  <c r="F5" i="11"/>
  <c r="E8" i="1"/>
  <c r="E20" i="1"/>
  <c r="E21" i="1"/>
  <c r="E13" i="1"/>
  <c r="E22" i="1"/>
  <c r="E12" i="1"/>
  <c r="E15" i="1"/>
  <c r="E6" i="1"/>
  <c r="E3" i="1"/>
  <c r="E5" i="1"/>
  <c r="E16" i="1"/>
  <c r="E4" i="1"/>
  <c r="E17" i="1"/>
  <c r="E7" i="1"/>
  <c r="E14" i="1"/>
  <c r="E23" i="1"/>
  <c r="E18" i="1"/>
  <c r="E10" i="1"/>
  <c r="E19" i="1"/>
  <c r="E11" i="1"/>
  <c r="E9" i="1"/>
  <c r="E6" i="7"/>
  <c r="E11" i="9"/>
  <c r="F11" i="9"/>
  <c r="E21" i="7"/>
  <c r="E26" i="9"/>
  <c r="F26" i="9"/>
  <c r="E13" i="7"/>
  <c r="E10" i="7"/>
  <c r="E15" i="9"/>
  <c r="F15" i="9"/>
  <c r="E19" i="7"/>
  <c r="E24" i="9"/>
  <c r="F24" i="9"/>
  <c r="E16" i="7"/>
  <c r="E21" i="9"/>
  <c r="F21" i="9"/>
  <c r="E9" i="7"/>
  <c r="E14" i="9"/>
  <c r="F14" i="9"/>
  <c r="E17" i="7"/>
  <c r="E22" i="9"/>
  <c r="F22" i="9"/>
  <c r="E7" i="7"/>
  <c r="E12" i="9"/>
  <c r="F12" i="9"/>
  <c r="E20" i="7"/>
  <c r="E25" i="9"/>
  <c r="F25" i="9"/>
  <c r="E18" i="7"/>
  <c r="E23" i="9"/>
  <c r="F23" i="9"/>
  <c r="E11" i="7"/>
  <c r="E16" i="9"/>
  <c r="F16" i="9"/>
  <c r="E12" i="7"/>
  <c r="E17" i="9"/>
  <c r="F17" i="9"/>
  <c r="E4" i="7"/>
  <c r="E9" i="9"/>
  <c r="F9" i="9"/>
  <c r="E3" i="7"/>
  <c r="E8" i="9"/>
  <c r="F8" i="9"/>
  <c r="E22" i="7"/>
  <c r="E27" i="9"/>
  <c r="F27" i="9"/>
  <c r="E14" i="7"/>
  <c r="E19" i="9"/>
  <c r="F19" i="9"/>
  <c r="E8" i="7"/>
  <c r="E13" i="9"/>
  <c r="F13" i="9"/>
  <c r="E23" i="7"/>
  <c r="E28" i="9"/>
  <c r="F28" i="9"/>
  <c r="E15" i="7"/>
  <c r="E20" i="9"/>
  <c r="F20" i="9"/>
  <c r="E5" i="7"/>
  <c r="E10" i="9"/>
  <c r="F10" i="9"/>
  <c r="C5" i="1"/>
  <c r="C5" i="7"/>
  <c r="C6" i="7"/>
  <c r="C6" i="1"/>
  <c r="D8" i="7"/>
  <c r="D8" i="1"/>
  <c r="D9" i="7"/>
  <c r="D9" i="1"/>
  <c r="C13" i="1"/>
  <c r="C13" i="7"/>
  <c r="C14" i="7"/>
  <c r="C14" i="1"/>
  <c r="C15" i="1"/>
  <c r="C15" i="7"/>
  <c r="C16" i="7"/>
  <c r="C16" i="1"/>
  <c r="C17" i="1"/>
  <c r="C17" i="7"/>
  <c r="D5" i="7"/>
  <c r="D5" i="1"/>
  <c r="D6" i="7"/>
  <c r="D6" i="1"/>
  <c r="C8" i="7"/>
  <c r="C8" i="1"/>
  <c r="C9" i="1"/>
  <c r="C9" i="7"/>
  <c r="D13" i="7"/>
  <c r="D13" i="1"/>
  <c r="D25" i="1" s="1"/>
  <c r="D14" i="7"/>
  <c r="D14" i="1"/>
  <c r="D15" i="7"/>
  <c r="D15" i="1"/>
  <c r="D16" i="7"/>
  <c r="D16" i="1"/>
  <c r="D17" i="7"/>
  <c r="D17" i="1"/>
  <c r="C18" i="7"/>
  <c r="C18" i="1"/>
  <c r="C19" i="1"/>
  <c r="C20" i="7"/>
  <c r="C20" i="1"/>
  <c r="C21" i="1"/>
  <c r="C21" i="7"/>
  <c r="C22" i="7"/>
  <c r="C22" i="1"/>
  <c r="C23" i="1"/>
  <c r="C23" i="7"/>
  <c r="D18" i="7"/>
  <c r="D18" i="1"/>
  <c r="D20" i="7"/>
  <c r="D20" i="1"/>
  <c r="D22" i="7"/>
  <c r="D22" i="1"/>
  <c r="D23" i="7"/>
  <c r="D23" i="1"/>
  <c r="C25" i="7"/>
  <c r="E18" i="9"/>
  <c r="F18" i="9"/>
  <c r="F30" i="9" s="1"/>
  <c r="F3" i="7"/>
  <c r="F4" i="7"/>
  <c r="F5" i="7"/>
  <c r="F6" i="7"/>
  <c r="F7" i="7"/>
  <c r="F8" i="7"/>
  <c r="F9" i="7"/>
  <c r="F10" i="7"/>
  <c r="F11" i="7"/>
  <c r="F12" i="7"/>
  <c r="F13" i="7"/>
  <c r="F14" i="7"/>
  <c r="F15" i="7"/>
  <c r="F16" i="7"/>
  <c r="F17" i="7"/>
  <c r="F18" i="7"/>
  <c r="F20" i="7"/>
  <c r="F21" i="7"/>
  <c r="F22" i="7"/>
  <c r="F23" i="7"/>
  <c r="C14" i="4" l="1"/>
  <c r="C17" i="4" s="1"/>
  <c r="F5" i="4" s="1"/>
  <c r="E13" i="3"/>
  <c r="D25" i="7"/>
  <c r="C25" i="1"/>
  <c r="F25" i="7"/>
  <c r="H30" i="9"/>
  <c r="C25" i="3" s="1"/>
  <c r="F32" i="9"/>
  <c r="H32" i="9" s="1"/>
  <c r="B25" i="3" s="1"/>
  <c r="L16" i="9"/>
  <c r="L18" i="9" s="1"/>
  <c r="C10" i="2"/>
  <c r="D10" i="4"/>
  <c r="B24" i="3"/>
  <c r="C24" i="3"/>
  <c r="B10" i="4"/>
  <c r="B10" i="2"/>
  <c r="C10" i="4"/>
  <c r="D7" i="3"/>
  <c r="B28" i="1" s="1"/>
  <c r="F20" i="1" s="1"/>
  <c r="G20" i="1" s="1"/>
  <c r="C20" i="8" s="1"/>
  <c r="G4" i="4"/>
  <c r="G7" i="4"/>
  <c r="G3" i="4"/>
  <c r="G8" i="4"/>
  <c r="G6" i="4"/>
  <c r="B9" i="3"/>
  <c r="D8" i="3"/>
  <c r="C9" i="3"/>
  <c r="B14" i="2"/>
  <c r="G5" i="4"/>
  <c r="F11" i="1" l="1"/>
  <c r="G11" i="1" s="1"/>
  <c r="H11" i="1" s="1"/>
  <c r="F21" i="1"/>
  <c r="G21" i="1" s="1"/>
  <c r="C21" i="8" s="1"/>
  <c r="F8" i="1"/>
  <c r="G8" i="1" s="1"/>
  <c r="C8" i="8" s="1"/>
  <c r="F15" i="1"/>
  <c r="G15" i="1" s="1"/>
  <c r="H15" i="1" s="1"/>
  <c r="F19" i="1"/>
  <c r="G19" i="1" s="1"/>
  <c r="C19" i="8" s="1"/>
  <c r="F6" i="1"/>
  <c r="G6" i="1" s="1"/>
  <c r="C6" i="8" s="1"/>
  <c r="F3" i="1"/>
  <c r="G3" i="1" s="1"/>
  <c r="C3" i="8" s="1"/>
  <c r="F17" i="1"/>
  <c r="G17" i="1" s="1"/>
  <c r="F10" i="1"/>
  <c r="G10" i="1" s="1"/>
  <c r="H10" i="1" s="1"/>
  <c r="F12" i="1"/>
  <c r="G12" i="1" s="1"/>
  <c r="F14" i="1"/>
  <c r="G14" i="1" s="1"/>
  <c r="H14" i="1" s="1"/>
  <c r="F5" i="1"/>
  <c r="G5" i="1" s="1"/>
  <c r="H5" i="1" s="1"/>
  <c r="F4" i="1"/>
  <c r="G4" i="1" s="1"/>
  <c r="C4" i="8" s="1"/>
  <c r="L17" i="9"/>
  <c r="F16" i="1"/>
  <c r="G16" i="1" s="1"/>
  <c r="C16" i="8" s="1"/>
  <c r="F13" i="1"/>
  <c r="G13" i="1" s="1"/>
  <c r="C13" i="8" s="1"/>
  <c r="F22" i="1"/>
  <c r="G22" i="1" s="1"/>
  <c r="H22" i="1" s="1"/>
  <c r="F3" i="4"/>
  <c r="H3" i="4" s="1"/>
  <c r="F6" i="4"/>
  <c r="H6" i="4" s="1"/>
  <c r="C6" i="5" s="1"/>
  <c r="I6" i="5" s="1"/>
  <c r="F8" i="4"/>
  <c r="H8" i="4" s="1"/>
  <c r="C8" i="5" s="1"/>
  <c r="I8" i="5" s="1"/>
  <c r="F4" i="4"/>
  <c r="H4" i="4" s="1"/>
  <c r="F7" i="4"/>
  <c r="H7" i="4" s="1"/>
  <c r="H5" i="4"/>
  <c r="I5" i="4" s="1"/>
  <c r="F7" i="1"/>
  <c r="G7" i="1" s="1"/>
  <c r="H7" i="1" s="1"/>
  <c r="F18" i="1"/>
  <c r="G18" i="1" s="1"/>
  <c r="H18" i="1" s="1"/>
  <c r="F9" i="1"/>
  <c r="G9" i="1" s="1"/>
  <c r="C9" i="8" s="1"/>
  <c r="F23" i="1"/>
  <c r="G23" i="1" s="1"/>
  <c r="C23" i="8" s="1"/>
  <c r="G8" i="7"/>
  <c r="H8" i="7" s="1"/>
  <c r="G12" i="7"/>
  <c r="H12" i="7" s="1"/>
  <c r="G16" i="7"/>
  <c r="H16" i="7" s="1"/>
  <c r="G20" i="7"/>
  <c r="H20" i="7" s="1"/>
  <c r="G23" i="7"/>
  <c r="H23" i="7" s="1"/>
  <c r="G7" i="7"/>
  <c r="H7" i="7" s="1"/>
  <c r="G15" i="7"/>
  <c r="H15" i="7" s="1"/>
  <c r="G19" i="7"/>
  <c r="H19" i="7" s="1"/>
  <c r="G22" i="7"/>
  <c r="H22" i="7" s="1"/>
  <c r="G5" i="7"/>
  <c r="H5" i="7" s="1"/>
  <c r="G9" i="7"/>
  <c r="H9" i="7" s="1"/>
  <c r="G13" i="7"/>
  <c r="H13" i="7" s="1"/>
  <c r="G17" i="7"/>
  <c r="H17" i="7" s="1"/>
  <c r="G4" i="7"/>
  <c r="H4" i="7" s="1"/>
  <c r="G21" i="7"/>
  <c r="H21" i="7" s="1"/>
  <c r="G3" i="7"/>
  <c r="H3" i="7" s="1"/>
  <c r="D9" i="3"/>
  <c r="E9" i="3" s="1"/>
  <c r="G6" i="7"/>
  <c r="H6" i="7" s="1"/>
  <c r="G10" i="7"/>
  <c r="H10" i="7" s="1"/>
  <c r="G14" i="7"/>
  <c r="H14" i="7" s="1"/>
  <c r="G18" i="7"/>
  <c r="H18" i="7" s="1"/>
  <c r="G11" i="7"/>
  <c r="H11" i="7" s="1"/>
  <c r="H17" i="1"/>
  <c r="C17" i="8"/>
  <c r="H20" i="1"/>
  <c r="C22" i="8"/>
  <c r="H13" i="1"/>
  <c r="C15" i="8"/>
  <c r="E7" i="2"/>
  <c r="F7" i="2" s="1"/>
  <c r="E5" i="2"/>
  <c r="F5" i="2" s="1"/>
  <c r="E6" i="2"/>
  <c r="F6" i="2" s="1"/>
  <c r="E8" i="2"/>
  <c r="F8" i="2" s="1"/>
  <c r="E3" i="2"/>
  <c r="F3" i="2" s="1"/>
  <c r="E4" i="2"/>
  <c r="F4" i="2" s="1"/>
  <c r="C11" i="8" l="1"/>
  <c r="C5" i="5"/>
  <c r="I5" i="5" s="1"/>
  <c r="H8" i="1"/>
  <c r="C10" i="8"/>
  <c r="H16" i="1"/>
  <c r="H9" i="1"/>
  <c r="H6" i="1"/>
  <c r="H21" i="1"/>
  <c r="H23" i="1"/>
  <c r="H3" i="1"/>
  <c r="H4" i="1"/>
  <c r="C18" i="8"/>
  <c r="C7" i="8"/>
  <c r="C12" i="8"/>
  <c r="H12" i="1"/>
  <c r="C14" i="8"/>
  <c r="C5" i="8"/>
  <c r="H19" i="1"/>
  <c r="I3" i="4"/>
  <c r="C3" i="5"/>
  <c r="I3" i="5" s="1"/>
  <c r="I8" i="4"/>
  <c r="I6" i="4"/>
  <c r="I4" i="4"/>
  <c r="C4" i="5"/>
  <c r="I4" i="5" s="1"/>
  <c r="C7" i="5"/>
  <c r="I7" i="5" s="1"/>
  <c r="I7" i="4"/>
  <c r="D17" i="8"/>
  <c r="E17" i="8" s="1"/>
  <c r="K17" i="8" s="1"/>
  <c r="M17" i="8" s="1"/>
  <c r="I17" i="7"/>
  <c r="D11" i="8"/>
  <c r="I11" i="7"/>
  <c r="D3" i="8"/>
  <c r="E3" i="8" s="1"/>
  <c r="K3" i="8" s="1"/>
  <c r="M3" i="8" s="1"/>
  <c r="I3" i="7"/>
  <c r="D5" i="8"/>
  <c r="I5" i="7"/>
  <c r="D20" i="8"/>
  <c r="E20" i="8" s="1"/>
  <c r="K20" i="8" s="1"/>
  <c r="M20" i="8" s="1"/>
  <c r="I20" i="7"/>
  <c r="I18" i="7"/>
  <c r="D18" i="8"/>
  <c r="D21" i="8"/>
  <c r="E21" i="8" s="1"/>
  <c r="K21" i="8" s="1"/>
  <c r="M21" i="8" s="1"/>
  <c r="I21" i="7"/>
  <c r="D22" i="8"/>
  <c r="I22" i="7"/>
  <c r="D16" i="8"/>
  <c r="E16" i="8" s="1"/>
  <c r="K16" i="8" s="1"/>
  <c r="M16" i="8" s="1"/>
  <c r="I16" i="7"/>
  <c r="D14" i="8"/>
  <c r="I14" i="7"/>
  <c r="I4" i="7"/>
  <c r="D4" i="8"/>
  <c r="E4" i="8" s="1"/>
  <c r="K4" i="8" s="1"/>
  <c r="M4" i="8" s="1"/>
  <c r="D19" i="8"/>
  <c r="E19" i="8" s="1"/>
  <c r="K19" i="8" s="1"/>
  <c r="M19" i="8" s="1"/>
  <c r="I19" i="7"/>
  <c r="D12" i="8"/>
  <c r="I12" i="7"/>
  <c r="D8" i="8"/>
  <c r="E8" i="8" s="1"/>
  <c r="K8" i="8" s="1"/>
  <c r="M8" i="8" s="1"/>
  <c r="I8" i="7"/>
  <c r="D10" i="8"/>
  <c r="I10" i="7"/>
  <c r="I15" i="7"/>
  <c r="D15" i="8"/>
  <c r="E15" i="8" s="1"/>
  <c r="K15" i="8" s="1"/>
  <c r="M15" i="8" s="1"/>
  <c r="E22" i="8"/>
  <c r="K22" i="8" s="1"/>
  <c r="M22" i="8" s="1"/>
  <c r="I6" i="7"/>
  <c r="D6" i="8"/>
  <c r="E6" i="8" s="1"/>
  <c r="K6" i="8" s="1"/>
  <c r="M6" i="8" s="1"/>
  <c r="I13" i="7"/>
  <c r="D13" i="8"/>
  <c r="E13" i="8" s="1"/>
  <c r="K13" i="8" s="1"/>
  <c r="M13" i="8" s="1"/>
  <c r="D7" i="8"/>
  <c r="I7" i="7"/>
  <c r="D9" i="8"/>
  <c r="E9" i="8" s="1"/>
  <c r="K9" i="8" s="1"/>
  <c r="M9" i="8" s="1"/>
  <c r="I9" i="7"/>
  <c r="D23" i="8"/>
  <c r="E23" i="8" s="1"/>
  <c r="K23" i="8" s="1"/>
  <c r="M23" i="8" s="1"/>
  <c r="I23" i="7"/>
  <c r="B7" i="5"/>
  <c r="G7" i="2"/>
  <c r="B4" i="5"/>
  <c r="G4" i="2"/>
  <c r="G3" i="2"/>
  <c r="B3" i="5"/>
  <c r="G8" i="2"/>
  <c r="B8" i="5"/>
  <c r="B6" i="5"/>
  <c r="G6" i="2"/>
  <c r="B5" i="5"/>
  <c r="H5" i="5" s="1"/>
  <c r="G5" i="2"/>
  <c r="E11" i="8" l="1"/>
  <c r="K11" i="8" s="1"/>
  <c r="M11" i="8" s="1"/>
  <c r="E18" i="8"/>
  <c r="K18" i="8" s="1"/>
  <c r="M18" i="8" s="1"/>
  <c r="E10" i="8"/>
  <c r="K10" i="8" s="1"/>
  <c r="M10" i="8" s="1"/>
  <c r="E7" i="8"/>
  <c r="K7" i="8" s="1"/>
  <c r="M7" i="8" s="1"/>
  <c r="E12" i="8"/>
  <c r="K12" i="8" s="1"/>
  <c r="M12" i="8" s="1"/>
  <c r="H25" i="1"/>
  <c r="I25" i="1" s="1"/>
  <c r="E14" i="8"/>
  <c r="K14" i="8" s="1"/>
  <c r="M14" i="8" s="1"/>
  <c r="E5" i="8"/>
  <c r="K5" i="8" s="1"/>
  <c r="M5" i="8" s="1"/>
  <c r="I10" i="4"/>
  <c r="J10" i="4" s="1"/>
  <c r="I25" i="7"/>
  <c r="J25" i="7" s="1"/>
  <c r="M5" i="5"/>
  <c r="O5" i="5" s="1"/>
  <c r="P5" i="5" s="1"/>
  <c r="H8" i="5"/>
  <c r="M8" i="5"/>
  <c r="O8" i="5" s="1"/>
  <c r="P8" i="5" s="1"/>
  <c r="H7" i="5"/>
  <c r="M7" i="5"/>
  <c r="O7" i="5" s="1"/>
  <c r="P7" i="5" s="1"/>
  <c r="H3" i="5"/>
  <c r="M3" i="5"/>
  <c r="O3" i="5" s="1"/>
  <c r="P3" i="5" s="1"/>
  <c r="G10" i="2"/>
  <c r="H10" i="2" s="1"/>
  <c r="H6" i="5"/>
  <c r="M6" i="5"/>
  <c r="O6" i="5" s="1"/>
  <c r="P6" i="5" s="1"/>
  <c r="H4" i="5"/>
  <c r="M4" i="5"/>
  <c r="O4" i="5" s="1"/>
  <c r="P4" i="5" s="1"/>
</calcChain>
</file>

<file path=xl/sharedStrings.xml><?xml version="1.0" encoding="utf-8"?>
<sst xmlns="http://schemas.openxmlformats.org/spreadsheetml/2006/main" count="373" uniqueCount="221">
  <si>
    <t>Musei,biblioteche, scuole, associazioni</t>
  </si>
  <si>
    <t>campeggi,distributori carburante, impianti sportivi</t>
  </si>
  <si>
    <t>stabilimenti balneari</t>
  </si>
  <si>
    <t>esposizioni ed autosaloni</t>
  </si>
  <si>
    <t>alberghi con ristorante</t>
  </si>
  <si>
    <t>alberghi senza ristorante</t>
  </si>
  <si>
    <t>case di cura e riposo</t>
  </si>
  <si>
    <t>uffici,agenzie,studi professionali</t>
  </si>
  <si>
    <t>banche ed istituti di credito</t>
  </si>
  <si>
    <t>negozi di abbigliamento,calzature,librerie, cartolerie e beni durevoli</t>
  </si>
  <si>
    <t>edicola,farmacia,tabaccherie</t>
  </si>
  <si>
    <t>carrozzeria, autofficine elettrauto</t>
  </si>
  <si>
    <t>attività industriali con capannone di produzione</t>
  </si>
  <si>
    <t>ristoranti,trattorie,osterie, pizzerie e pub</t>
  </si>
  <si>
    <t>bar,caffè,pasticcieria</t>
  </si>
  <si>
    <t>Supermercati,macellerie e generi alimentari</t>
  </si>
  <si>
    <t>plurilicenze alimentari</t>
  </si>
  <si>
    <t>ortofrutta,pescheria,fiori e piante, pizza a taglio</t>
  </si>
  <si>
    <t>discoteche, night club</t>
  </si>
  <si>
    <t>Totale costi variabili</t>
  </si>
  <si>
    <t>Totale costi fissi</t>
  </si>
  <si>
    <t>Totale costo del servizio</t>
  </si>
  <si>
    <t>Categorie</t>
  </si>
  <si>
    <t>numero utenze</t>
  </si>
  <si>
    <t>6 o più</t>
  </si>
  <si>
    <t>Totale</t>
  </si>
  <si>
    <t>tot superficie (mq)</t>
  </si>
  <si>
    <t>Quf</t>
  </si>
  <si>
    <t>TFd</t>
  </si>
  <si>
    <t>TFd(n)</t>
  </si>
  <si>
    <t>Quantità rifiuti prodotti (Kg)</t>
  </si>
  <si>
    <t>Quv</t>
  </si>
  <si>
    <t>TVd</t>
  </si>
  <si>
    <t>TVd(n)</t>
  </si>
  <si>
    <t>Cu</t>
  </si>
  <si>
    <t>Quf =</t>
  </si>
  <si>
    <t xml:space="preserve">Quv = </t>
  </si>
  <si>
    <t>Cat</t>
  </si>
  <si>
    <t>Descrizione</t>
  </si>
  <si>
    <t>Num utenze</t>
  </si>
  <si>
    <t>Tot mq</t>
  </si>
  <si>
    <t>TF</t>
  </si>
  <si>
    <t>Qapf</t>
  </si>
  <si>
    <t>Qapf =</t>
  </si>
  <si>
    <t>TV</t>
  </si>
  <si>
    <t>Tot mq * Kd</t>
  </si>
  <si>
    <t>Utenze domestiche</t>
  </si>
  <si>
    <t>Utenze non domestiche</t>
  </si>
  <si>
    <t xml:space="preserve">          conforme a Circolare Ministero dell'ambiente relativa a DPR 27 aprile 1999 n. 158</t>
  </si>
  <si>
    <t xml:space="preserve">Totale Rifiuti raccolti, (al netto dei rifiuti di Imballaggio)  </t>
  </si>
  <si>
    <t>Kg</t>
  </si>
  <si>
    <t>TIPO ATT.</t>
  </si>
  <si>
    <t>DESCRIZIONE</t>
  </si>
  <si>
    <t>SUP TASS</t>
  </si>
  <si>
    <t>KD</t>
  </si>
  <si>
    <t>RIFIUTI PRODOTTI (Kg)</t>
  </si>
  <si>
    <t>Musei, biblioteche, scuole, associazioni, luoghi di culto</t>
  </si>
  <si>
    <t>Campeggi, distributori carburanti</t>
  </si>
  <si>
    <t>Stabilimenti balneari</t>
  </si>
  <si>
    <t>Esposizioni, autosaloni</t>
  </si>
  <si>
    <t>Alberghi con ristorante</t>
  </si>
  <si>
    <t>Alberghi senza ristorante</t>
  </si>
  <si>
    <t>Case di cura e riposo</t>
  </si>
  <si>
    <t>Uffici, agenzie, studi professionali</t>
  </si>
  <si>
    <t>Banche ed istituti di credito</t>
  </si>
  <si>
    <t>Negozi abbigliamento, calzature, libreria, cartoleria, ferramenta e altri beni durevoli</t>
  </si>
  <si>
    <t>Edicola, farmacia, tabaccaio, plurilicenze</t>
  </si>
  <si>
    <t>Attività artigianali tipo botteghe (falegname, idraulico, fabbro, elettricista parrucchiere)</t>
  </si>
  <si>
    <t>Carrozzeria, autofficina, elettrauto</t>
  </si>
  <si>
    <t>Attività industriali con capannoni di produzione</t>
  </si>
  <si>
    <t>Attività artigianali di produzione beni specifici</t>
  </si>
  <si>
    <t xml:space="preserve">Ristoranti, trattorie osterie, pizzerie </t>
  </si>
  <si>
    <t>Bar, caffè, pasticceria</t>
  </si>
  <si>
    <t>Supermercato, pane e pasta, macelleria, salumi e formaggi, generi alimentari</t>
  </si>
  <si>
    <t>Plurilicenze alimentari e/o miste</t>
  </si>
  <si>
    <t>Ortofrutta, pescherie, fiori e piante</t>
  </si>
  <si>
    <t xml:space="preserve">Discoteche, night club </t>
  </si>
  <si>
    <t xml:space="preserve">Stima Rifiuti prodotti dalle Utenze Non Domestiche (KG UND)   </t>
  </si>
  <si>
    <t xml:space="preserve">Stima Rifiuti prodotti dalle Utenze Domestiche (KG UD)   </t>
  </si>
  <si>
    <t>N.</t>
  </si>
  <si>
    <t>Ka             (zona Sud)</t>
  </si>
  <si>
    <t>Qtot =</t>
  </si>
  <si>
    <t>attività artigianali tipo botteghe (falgname, idraluico, fabbro, elettricista, parrucchieri)</t>
  </si>
  <si>
    <t>attività artigianali di produzione beni specifici</t>
  </si>
  <si>
    <t>DOMESTICHE</t>
  </si>
  <si>
    <t>NON DOMESTICHE</t>
  </si>
  <si>
    <t>n</t>
  </si>
  <si>
    <t>Kb min</t>
  </si>
  <si>
    <t>Kb max</t>
  </si>
  <si>
    <t>Ps</t>
  </si>
  <si>
    <t>Kb(n)</t>
  </si>
  <si>
    <t>n.</t>
  </si>
  <si>
    <t>ATTIVTA'</t>
  </si>
  <si>
    <t>Kc min.</t>
  </si>
  <si>
    <t>Kc max.</t>
  </si>
  <si>
    <t>Kc</t>
  </si>
  <si>
    <t>% Rid</t>
  </si>
  <si>
    <t>Kd min.</t>
  </si>
  <si>
    <t>Kd max.</t>
  </si>
  <si>
    <t>Kd</t>
  </si>
  <si>
    <t>Campeggi, distributori carburanti, impianti sportivi</t>
  </si>
  <si>
    <t>Negozi abbigliamento, calzature, libreria, cartoleria, ferramenta, e altri beni durevoli</t>
  </si>
  <si>
    <t>Attività artigianali tipo botteghe: falegname, idraulico, fabbro, elettricista, parrucc.</t>
  </si>
  <si>
    <t>Ristoranti, trattorie, osterie, pizzerie, mense, pub, birrerie</t>
  </si>
  <si>
    <t xml:space="preserve">Plurilicenze alimentari e/o miste </t>
  </si>
  <si>
    <t>Discoteche, night-club</t>
  </si>
  <si>
    <t>Kc              min - Sud</t>
  </si>
  <si>
    <t>Kd              min - Sud</t>
  </si>
  <si>
    <t>Differenza</t>
  </si>
  <si>
    <t>Differenza TF</t>
  </si>
  <si>
    <t>Differenza TV</t>
  </si>
  <si>
    <t>Mq</t>
  </si>
  <si>
    <t>Nord</t>
  </si>
  <si>
    <t>Centro</t>
  </si>
  <si>
    <t>Sud</t>
  </si>
  <si>
    <t>&lt; 5,000 abitanti</t>
  </si>
  <si>
    <t>FISSA (Ka)</t>
  </si>
  <si>
    <t>VARIABILE (Kb)</t>
  </si>
  <si>
    <t>TARIFFA FISSA UTENZE DOMESTICHE (Ka)</t>
  </si>
  <si>
    <t>DETERMINAZIONE QUANTITA' RIFIUTI PRODOTTI DA UTENZE DOMESTICHE E NON DOMESTICHE</t>
  </si>
  <si>
    <t>UTENZE DOMESTICHE</t>
  </si>
  <si>
    <t>Tot. superficie (mq)</t>
  </si>
  <si>
    <t>N. UTENZE</t>
  </si>
  <si>
    <t>%</t>
  </si>
  <si>
    <t>TARIFFA VARIABILE UTENZE DOMESTICHE (Kb)</t>
  </si>
  <si>
    <t>Tariffa FISSA</t>
  </si>
  <si>
    <t>Tariffa VARIABILE</t>
  </si>
  <si>
    <t>&gt; 5,000 abitanti</t>
  </si>
  <si>
    <t>Kc max +50%</t>
  </si>
  <si>
    <t>Kc min     -50%</t>
  </si>
  <si>
    <t>Kd min     -50%</t>
  </si>
  <si>
    <t>Kd max +50%</t>
  </si>
  <si>
    <t>FISSA (Kc)</t>
  </si>
  <si>
    <t>VARIABILE (Kd)</t>
  </si>
  <si>
    <t>TARIFFA FISSA UTENZE NON DOMESTICHE (Kc)</t>
  </si>
  <si>
    <t>TARIFFA VARIABILE UTENZE NON DOMESTICHE (Kd)</t>
  </si>
  <si>
    <t>Totali</t>
  </si>
  <si>
    <t>Add. Prov.</t>
  </si>
  <si>
    <t>numero utenze senza pertinenze</t>
  </si>
  <si>
    <t>banche, istituti di credito e studi professionali</t>
  </si>
  <si>
    <t>uffici,agenzie</t>
  </si>
  <si>
    <t>uffici ed agenzie</t>
  </si>
  <si>
    <t>Banche, istituti di credito e studi professionali</t>
  </si>
  <si>
    <t>Uffici, agenzie</t>
  </si>
  <si>
    <t>SIMULAZIONE NUOVO GETTITO CON ADDIZIONALE</t>
  </si>
  <si>
    <t>RIDUZIONI</t>
  </si>
  <si>
    <t>PARTE FISSA</t>
  </si>
  <si>
    <t>PARTE VARIABILE</t>
  </si>
  <si>
    <t>PERTINENZE</t>
  </si>
  <si>
    <t>N. OCCUP.</t>
  </si>
  <si>
    <t>N. PERTINENZE</t>
  </si>
  <si>
    <t>% Costi fissi</t>
  </si>
  <si>
    <t>% CostiVariabili</t>
  </si>
  <si>
    <t>% Utenze domestiche</t>
  </si>
  <si>
    <t>% Utenze non domestiche</t>
  </si>
  <si>
    <t>min</t>
  </si>
  <si>
    <t>ad hoc</t>
  </si>
  <si>
    <t>Kd med</t>
  </si>
  <si>
    <t>% CostiVariabili
(produzione rifiuti teorica)</t>
  </si>
  <si>
    <t>% Costi fissi
(rapporto superfici totali/utenze)</t>
  </si>
  <si>
    <t>RIEPILOGO VALUTAZIONI TEORICHE
PER CALCOLO PERCENTUALE UD E UND</t>
  </si>
  <si>
    <t>domestiche + non domestiche</t>
  </si>
  <si>
    <t xml:space="preserve">TVa dopo distribuzione delta (∑Ta-∑Tmax) </t>
  </si>
  <si>
    <t xml:space="preserve">TFa dopo distribuzione delta (∑Ta-∑Tmax) </t>
  </si>
  <si>
    <t xml:space="preserve">Ta=TVa+TFa dopo distribuzione delta (∑Ta-∑Tmax) </t>
  </si>
  <si>
    <t/>
  </si>
  <si>
    <t>6 +</t>
  </si>
  <si>
    <t>MQ</t>
  </si>
  <si>
    <t>max</t>
  </si>
  <si>
    <t>COEFFICIENTI UTENZE NON DOMESTICHE</t>
  </si>
  <si>
    <t>KC applicato</t>
  </si>
  <si>
    <t>KD applicato</t>
  </si>
  <si>
    <t>Attività artigianali tipo botteghe: falegname, idraulico, fabbro, elettricista</t>
  </si>
  <si>
    <t>Ristoranti, trattorie, osterie, pizzerie, pub</t>
  </si>
  <si>
    <t>Ortofrutta, pescherie, fiori e piante, pizza al taglio</t>
  </si>
  <si>
    <t>Discoteche, night club</t>
  </si>
  <si>
    <t>Costo TARI 2025</t>
  </si>
  <si>
    <t>TARIFFE TARI 2026 UTENZE DOMESTICHE</t>
  </si>
  <si>
    <t>TARI 2025  UTENZE DOMESTICHE</t>
  </si>
  <si>
    <t xml:space="preserve">Tariffa fissa </t>
  </si>
  <si>
    <t xml:space="preserve">Tariffa variabile </t>
  </si>
  <si>
    <t>Costo TARI 2026</t>
  </si>
  <si>
    <t>Tariffa Fissa 2026</t>
  </si>
  <si>
    <t>Tariffa Variabile 2026</t>
  </si>
  <si>
    <t>Tariffa Totale 2026</t>
  </si>
  <si>
    <t xml:space="preserve">TARIFFE TARI 2026 UTENZE NON DOMESTICHE </t>
  </si>
  <si>
    <t>Tariffa 2025</t>
  </si>
  <si>
    <t xml:space="preserve">Grandezze fisico-tecniche </t>
  </si>
  <si>
    <r>
      <t>raccolta differenziata % -</t>
    </r>
    <r>
      <rPr>
        <vertAlign val="subscript"/>
        <sz val="11"/>
        <color theme="1"/>
        <rFont val="Century Gothic"/>
        <family val="2"/>
      </rPr>
      <t xml:space="preserve"> (a-2)</t>
    </r>
  </si>
  <si>
    <r>
      <t>q</t>
    </r>
    <r>
      <rPr>
        <i/>
        <vertAlign val="subscript"/>
        <sz val="11"/>
        <color theme="1"/>
        <rFont val="Century Gothic"/>
        <family val="2"/>
      </rPr>
      <t>a-2</t>
    </r>
    <r>
      <rPr>
        <i/>
        <sz val="11"/>
        <color theme="1"/>
        <rFont val="Century Gothic"/>
        <family val="2"/>
      </rPr>
      <t xml:space="preserve">  </t>
    </r>
    <r>
      <rPr>
        <i/>
        <sz val="11"/>
        <rFont val="Century Gothic"/>
        <family val="2"/>
      </rPr>
      <t xml:space="preserve"> t</t>
    </r>
    <r>
      <rPr>
        <i/>
        <sz val="11"/>
        <color theme="1"/>
        <rFont val="Century Gothic"/>
        <family val="2"/>
      </rPr>
      <t>on</t>
    </r>
  </si>
  <si>
    <r>
      <t xml:space="preserve">costo unitario effettivo - Cueff   </t>
    </r>
    <r>
      <rPr>
        <i/>
        <sz val="11"/>
        <color theme="1"/>
        <rFont val="Century Gothic"/>
        <family val="2"/>
      </rPr>
      <t>€cent/kg</t>
    </r>
    <r>
      <rPr>
        <sz val="11"/>
        <color theme="1"/>
        <rFont val="Century Gothic"/>
        <family val="2"/>
      </rPr>
      <t xml:space="preserve"> - (a-2)</t>
    </r>
  </si>
  <si>
    <t>Benchmark di riferimento [cent€/kg] (fabbisogno standard/costo medio settore) - (a-2)</t>
  </si>
  <si>
    <t>Coefficiente di gradualità</t>
  </si>
  <si>
    <r>
      <t xml:space="preserve">valutazione rispetto agli obiettivi di raccolta differenziata   </t>
    </r>
    <r>
      <rPr>
        <b/>
        <i/>
        <sz val="11"/>
        <color theme="1"/>
        <rFont val="Century Gothic"/>
        <family val="2"/>
      </rPr>
      <t>ɣ</t>
    </r>
    <r>
      <rPr>
        <b/>
        <i/>
        <vertAlign val="subscript"/>
        <sz val="11"/>
        <color theme="1"/>
        <rFont val="Century Gothic"/>
        <family val="2"/>
      </rPr>
      <t>1</t>
    </r>
    <r>
      <rPr>
        <sz val="11"/>
        <color theme="1"/>
        <rFont val="Century Gothic"/>
        <family val="2"/>
      </rPr>
      <t xml:space="preserve"> </t>
    </r>
  </si>
  <si>
    <r>
      <t xml:space="preserve">valutazione rispetto all' efficacia dell' attività di preparazione per il riutilizzo e riciclo   </t>
    </r>
    <r>
      <rPr>
        <b/>
        <i/>
        <sz val="11"/>
        <color theme="1"/>
        <rFont val="Century Gothic"/>
        <family val="2"/>
      </rPr>
      <t>ɣ</t>
    </r>
    <r>
      <rPr>
        <b/>
        <i/>
        <vertAlign val="subscript"/>
        <sz val="11"/>
        <color theme="1"/>
        <rFont val="Century Gothic"/>
        <family val="2"/>
      </rPr>
      <t>2</t>
    </r>
    <r>
      <rPr>
        <sz val="11"/>
        <color theme="1"/>
        <rFont val="Century Gothic"/>
        <family val="2"/>
      </rPr>
      <t xml:space="preserve"> </t>
    </r>
  </si>
  <si>
    <t>Totale    ɣ</t>
  </si>
  <si>
    <r>
      <t xml:space="preserve">Coefficiente di gradualità   </t>
    </r>
    <r>
      <rPr>
        <b/>
        <i/>
        <sz val="11"/>
        <color theme="0"/>
        <rFont val="Century Gothic"/>
        <family val="2"/>
      </rPr>
      <t>(1+ ɣ)</t>
    </r>
  </si>
  <si>
    <t>Verifica del limite di crescita</t>
  </si>
  <si>
    <r>
      <t>rpi</t>
    </r>
    <r>
      <rPr>
        <i/>
        <vertAlign val="subscript"/>
        <sz val="11"/>
        <color theme="1"/>
        <rFont val="Century Gothic"/>
        <family val="2"/>
      </rPr>
      <t>a</t>
    </r>
  </si>
  <si>
    <r>
      <t xml:space="preserve">coefficiente di recupero di produttività   </t>
    </r>
    <r>
      <rPr>
        <b/>
        <i/>
        <sz val="11"/>
        <color theme="1"/>
        <rFont val="Century Gothic"/>
        <family val="2"/>
      </rPr>
      <t>X</t>
    </r>
    <r>
      <rPr>
        <i/>
        <vertAlign val="subscript"/>
        <sz val="11"/>
        <color theme="1"/>
        <rFont val="Century Gothic"/>
        <family val="2"/>
      </rPr>
      <t>a</t>
    </r>
    <r>
      <rPr>
        <sz val="11"/>
        <color theme="1"/>
        <rFont val="Century Gothic"/>
        <family val="2"/>
      </rPr>
      <t xml:space="preserve"> </t>
    </r>
  </si>
  <si>
    <r>
      <t>coeff. Potenziamento del servizio</t>
    </r>
    <r>
      <rPr>
        <b/>
        <sz val="11"/>
        <color theme="1"/>
        <rFont val="Century Gothic"/>
        <family val="2"/>
      </rPr>
      <t xml:space="preserve">  </t>
    </r>
    <r>
      <rPr>
        <b/>
        <i/>
        <sz val="11"/>
        <color theme="1"/>
        <rFont val="Century Gothic"/>
        <family val="2"/>
      </rPr>
      <t>K</t>
    </r>
    <r>
      <rPr>
        <b/>
        <i/>
        <vertAlign val="subscript"/>
        <sz val="11"/>
        <color theme="1"/>
        <rFont val="Century Gothic"/>
        <family val="2"/>
      </rPr>
      <t>a</t>
    </r>
    <r>
      <rPr>
        <b/>
        <sz val="11"/>
        <color theme="1"/>
        <rFont val="Century Gothic"/>
        <family val="2"/>
      </rPr>
      <t xml:space="preserve"> </t>
    </r>
  </si>
  <si>
    <r>
      <t xml:space="preserve">coeff. per recupero inflazione </t>
    </r>
    <r>
      <rPr>
        <b/>
        <i/>
        <sz val="11"/>
        <rFont val="Century Gothic"/>
        <family val="2"/>
      </rPr>
      <t>CRI</t>
    </r>
    <r>
      <rPr>
        <b/>
        <i/>
        <vertAlign val="subscript"/>
        <sz val="11"/>
        <rFont val="Century Gothic"/>
        <family val="2"/>
      </rPr>
      <t>a</t>
    </r>
  </si>
  <si>
    <r>
      <t xml:space="preserve">Parametro per la determinazione del limite alla crescita delle tariffe </t>
    </r>
    <r>
      <rPr>
        <b/>
        <i/>
        <sz val="11"/>
        <color theme="0"/>
        <rFont val="Calibri"/>
        <family val="2"/>
      </rPr>
      <t>ρ</t>
    </r>
  </si>
  <si>
    <t>(1+ρ)</t>
  </si>
  <si>
    <r>
      <t xml:space="preserve"> </t>
    </r>
    <r>
      <rPr>
        <i/>
        <sz val="11"/>
        <color theme="0"/>
        <rFont val="Century Gothic"/>
        <family val="2"/>
      </rPr>
      <t>∑T</t>
    </r>
    <r>
      <rPr>
        <i/>
        <vertAlign val="subscript"/>
        <sz val="11"/>
        <color theme="0"/>
        <rFont val="Century Gothic"/>
        <family val="2"/>
      </rPr>
      <t>a</t>
    </r>
  </si>
  <si>
    <r>
      <t xml:space="preserve"> </t>
    </r>
    <r>
      <rPr>
        <i/>
        <sz val="11"/>
        <color theme="1"/>
        <rFont val="Century Gothic"/>
        <family val="2"/>
      </rPr>
      <t>∑TV</t>
    </r>
    <r>
      <rPr>
        <i/>
        <vertAlign val="subscript"/>
        <sz val="11"/>
        <color theme="1"/>
        <rFont val="Century Gothic"/>
        <family val="2"/>
      </rPr>
      <t>a-1</t>
    </r>
  </si>
  <si>
    <r>
      <t xml:space="preserve"> </t>
    </r>
    <r>
      <rPr>
        <i/>
        <sz val="11"/>
        <color theme="1"/>
        <rFont val="Century Gothic"/>
        <family val="2"/>
      </rPr>
      <t>∑TF</t>
    </r>
    <r>
      <rPr>
        <i/>
        <vertAlign val="subscript"/>
        <sz val="11"/>
        <color theme="1"/>
        <rFont val="Century Gothic"/>
        <family val="2"/>
      </rPr>
      <t>a-1</t>
    </r>
  </si>
  <si>
    <r>
      <t xml:space="preserve"> </t>
    </r>
    <r>
      <rPr>
        <i/>
        <sz val="11"/>
        <color theme="0"/>
        <rFont val="Century Gothic"/>
        <family val="2"/>
      </rPr>
      <t>∑T</t>
    </r>
    <r>
      <rPr>
        <i/>
        <vertAlign val="subscript"/>
        <sz val="11"/>
        <color theme="0"/>
        <rFont val="Century Gothic"/>
        <family val="2"/>
      </rPr>
      <t>a-1</t>
    </r>
  </si>
  <si>
    <r>
      <t xml:space="preserve"> </t>
    </r>
    <r>
      <rPr>
        <b/>
        <i/>
        <sz val="11"/>
        <color theme="0"/>
        <rFont val="Century Gothic"/>
        <family val="2"/>
      </rPr>
      <t>∑T</t>
    </r>
    <r>
      <rPr>
        <b/>
        <i/>
        <vertAlign val="subscript"/>
        <sz val="11"/>
        <color theme="0"/>
        <rFont val="Century Gothic"/>
        <family val="2"/>
      </rPr>
      <t>a</t>
    </r>
    <r>
      <rPr>
        <b/>
        <i/>
        <sz val="11"/>
        <color theme="0"/>
        <rFont val="Century Gothic"/>
        <family val="2"/>
      </rPr>
      <t>/ ∑T</t>
    </r>
    <r>
      <rPr>
        <b/>
        <i/>
        <vertAlign val="subscript"/>
        <sz val="11"/>
        <color theme="0"/>
        <rFont val="Century Gothic"/>
        <family val="2"/>
      </rPr>
      <t>a-1</t>
    </r>
  </si>
  <si>
    <r>
      <t>∑T</t>
    </r>
    <r>
      <rPr>
        <b/>
        <vertAlign val="subscript"/>
        <sz val="11"/>
        <color theme="0"/>
        <rFont val="Century Gothic"/>
        <family val="2"/>
      </rPr>
      <t>max</t>
    </r>
    <r>
      <rPr>
        <b/>
        <sz val="11"/>
        <color theme="0"/>
        <rFont val="Century Gothic"/>
        <family val="2"/>
      </rPr>
      <t xml:space="preserve">  (entrate tariffarie massime applicabili nel rispetto del limite di crescita)</t>
    </r>
  </si>
  <si>
    <r>
      <t>delta (∑T</t>
    </r>
    <r>
      <rPr>
        <b/>
        <vertAlign val="subscript"/>
        <sz val="11"/>
        <color theme="0"/>
        <rFont val="Century Gothic"/>
        <family val="2"/>
      </rPr>
      <t>a</t>
    </r>
    <r>
      <rPr>
        <b/>
        <sz val="11"/>
        <color theme="0"/>
        <rFont val="Century Gothic"/>
        <family val="2"/>
      </rPr>
      <t>-∑T</t>
    </r>
    <r>
      <rPr>
        <b/>
        <vertAlign val="subscript"/>
        <sz val="11"/>
        <color theme="0"/>
        <rFont val="Century Gothic"/>
        <family val="2"/>
      </rPr>
      <t>max</t>
    </r>
    <r>
      <rPr>
        <b/>
        <sz val="11"/>
        <color theme="0"/>
        <rFont val="Century Gothic"/>
        <family val="2"/>
      </rPr>
      <t>)</t>
    </r>
  </si>
  <si>
    <t>Detrazioni di cui al comma 4.5 della Determina 1/DTAC/2025 - parte variabile</t>
  </si>
  <si>
    <t>Detrazioni di cui al comma 4.5 della Determina 1/DTAC/2025 - parte fissa</t>
  </si>
  <si>
    <r>
      <rPr>
        <b/>
        <i/>
        <sz val="11"/>
        <rFont val="Century Gothic"/>
        <family val="2"/>
      </rPr>
      <t>∑TV</t>
    </r>
    <r>
      <rPr>
        <b/>
        <i/>
        <vertAlign val="subscript"/>
        <sz val="11"/>
        <rFont val="Century Gothic"/>
        <family val="2"/>
      </rPr>
      <t>a</t>
    </r>
    <r>
      <rPr>
        <b/>
        <sz val="11"/>
        <rFont val="Century Gothic"/>
        <family val="2"/>
      </rPr>
      <t xml:space="preserve"> totale delle entrate tariffarie relative alle componenti di costo variabile dopo le detrazioni di cui al comma 4.5 Determina 1/DTAC/2025</t>
    </r>
  </si>
  <si>
    <r>
      <rPr>
        <b/>
        <i/>
        <sz val="11"/>
        <rFont val="Century Gothic"/>
        <family val="2"/>
      </rPr>
      <t>∑TF</t>
    </r>
    <r>
      <rPr>
        <b/>
        <i/>
        <vertAlign val="subscript"/>
        <sz val="11"/>
        <rFont val="Century Gothic"/>
        <family val="2"/>
      </rPr>
      <t>a</t>
    </r>
    <r>
      <rPr>
        <b/>
        <sz val="11"/>
        <rFont val="Century Gothic"/>
        <family val="2"/>
      </rPr>
      <t xml:space="preserve"> totale delle entrate tariffarie relative alle componenti di costo fisso dopo le detrazioni di cui al comma 4.5 della Determina 1/DTAC/2025</t>
    </r>
  </si>
  <si>
    <t>Totale entrate tariffarie dopo le detrazioni di cui al comma 4.5 della Determina 1/DTAC/2025</t>
  </si>
  <si>
    <t>184</t>
  </si>
  <si>
    <t>147</t>
  </si>
  <si>
    <t>108</t>
  </si>
  <si>
    <t>60</t>
  </si>
  <si>
    <t>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</si>
</sst>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7"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&quot;€&quot;\ * #,##0.00_-;\-&quot;€&quot;\ * #,##0.00_-;_-&quot;€&quot;\ * &quot;-&quot;??_-;_-@_-"/>
    <numFmt numFmtId="165" formatCode="_-* #,##0.0000_-;\-* #,##0.0000_-;_-* &quot;-&quot;????_-;_-@_-"/>
    <numFmt numFmtId="166" formatCode="#,##0.0000"/>
    <numFmt numFmtId="167" formatCode="_-* #,##0_-;\-* #,##0_-;_-* &quot;-&quot;??_-;_-@_-"/>
    <numFmt numFmtId="168" formatCode="_-* #,##0.000_-;\-* #,##0.000_-;_-* &quot;-&quot;??_-;_-@_-"/>
    <numFmt numFmtId="169" formatCode="_-[$€-2]\ * #,##0.00_-;\-[$€-2]\ * #,##0.00_-;_-[$€-2]\ * &quot;-&quot;??_-"/>
    <numFmt numFmtId="170" formatCode="#,##0.00_ ;\-#,##0.00\ "/>
    <numFmt numFmtId="171" formatCode="#,##0_ ;\-#,##0\ "/>
    <numFmt numFmtId="172" formatCode="0.0"/>
    <numFmt numFmtId="173" formatCode="_-* #,##0.00_-;\-* #,##0.00_-;_-* &quot;-&quot;_-;_-@_-"/>
    <numFmt numFmtId="174" formatCode="_-[$€-410]\ * #,##0.00_-;\-[$€-410]\ * #,##0.00_-;_-[$€-410]\ * &quot;-&quot;??_-;_-@_-"/>
    <numFmt numFmtId="175" formatCode="0.00000000"/>
    <numFmt numFmtId="176" formatCode="#,##0.000000_ ;[Red]\-#,##0.000000\ "/>
    <numFmt numFmtId="177" formatCode="#,##0.00_ ;[Red]\-#,##0.00\ "/>
    <numFmt numFmtId="178" formatCode="0.00_ ;[Red]\-0.00\ "/>
    <numFmt numFmtId="179" formatCode="_-[$€-410]\ * #,##0.00000_-;\-[$€-410]\ * #,##0.00000_-;_-[$€-410]\ * &quot;-&quot;??_-;_-@_-"/>
    <numFmt numFmtId="180" formatCode="_-* #,##0.00000_-;\-* #,##0.00000_-;_-* &quot;-&quot;??_-;_-@_-"/>
    <numFmt numFmtId="181" formatCode="_-* #,##0.00000\ &quot;€&quot;_-;\-* #,##0.00000\ &quot;€&quot;_-;_-* &quot;-&quot;??\ &quot;€&quot;_-;_-@_-"/>
    <numFmt numFmtId="182" formatCode="0.000000"/>
    <numFmt numFmtId="183" formatCode="0.0%"/>
    <numFmt numFmtId="184" formatCode="_-* #,##0\ _€_-;\-* #,##0\ _€_-;_-* &quot;-&quot;??\ _€_-;_-@_-"/>
    <numFmt numFmtId="185" formatCode="_-* #,##0.0000\ _€_-;\-* #,##0.0000\ _€_-;_-* &quot;-&quot;??\ _€_-;_-@_-"/>
    <numFmt numFmtId="186" formatCode="_-* #,##0\ &quot;€&quot;_-;\-* #,##0\ &quot;€&quot;_-;_-* &quot;-&quot;??\ &quot;€&quot;_-;_-@_-"/>
    <numFmt numFmtId="187" formatCode="_-* #,##0.0000_-;\-* #,##0.0000_-;_-* &quot;-&quot;??_-;_-@_-"/>
  </numFmts>
  <fonts count="46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Garamond"/>
      <family val="1"/>
    </font>
    <font>
      <b/>
      <sz val="10"/>
      <name val="Garamond"/>
      <family val="1"/>
    </font>
    <font>
      <b/>
      <sz val="11"/>
      <name val="Garamond"/>
      <family val="1"/>
    </font>
    <font>
      <sz val="11"/>
      <name val="Garamond"/>
      <family val="1"/>
    </font>
    <font>
      <b/>
      <sz val="20"/>
      <name val="Garamond"/>
      <family val="1"/>
    </font>
    <font>
      <b/>
      <sz val="16"/>
      <name val="Garamond"/>
      <family val="1"/>
    </font>
    <font>
      <b/>
      <sz val="12"/>
      <color theme="1"/>
      <name val="Garamond"/>
      <family val="1"/>
    </font>
    <font>
      <b/>
      <sz val="11"/>
      <color theme="1"/>
      <name val="Garamond"/>
      <family val="1"/>
    </font>
    <font>
      <sz val="12"/>
      <color theme="1"/>
      <name val="Garamond"/>
      <family val="1"/>
    </font>
    <font>
      <b/>
      <sz val="18"/>
      <name val="Garamond"/>
      <family val="1"/>
    </font>
    <font>
      <sz val="18"/>
      <name val="Garamond"/>
      <family val="1"/>
    </font>
    <font>
      <b/>
      <sz val="12"/>
      <name val="Garamond"/>
      <family val="1"/>
    </font>
    <font>
      <sz val="11"/>
      <color theme="0"/>
      <name val="Garamond"/>
      <family val="1"/>
    </font>
    <font>
      <sz val="11"/>
      <color theme="1"/>
      <name val="Garamond"/>
      <family val="1"/>
    </font>
    <font>
      <sz val="10"/>
      <name val="Arial"/>
      <family val="2"/>
    </font>
    <font>
      <b/>
      <sz val="11"/>
      <name val="Century Gothic"/>
      <family val="2"/>
    </font>
    <font>
      <b/>
      <sz val="14"/>
      <name val="Century Gothic"/>
      <family val="2"/>
    </font>
    <font>
      <sz val="11"/>
      <color rgb="FFFF0000"/>
      <name val="Century Gothic"/>
      <family val="2"/>
    </font>
    <font>
      <b/>
      <sz val="10"/>
      <color indexed="8"/>
      <name val="Garamond"/>
      <family val="1"/>
    </font>
    <font>
      <b/>
      <sz val="10"/>
      <color theme="1"/>
      <name val="Garamond"/>
      <family val="1"/>
    </font>
    <font>
      <sz val="11"/>
      <color indexed="8"/>
      <name val="Garamond"/>
      <family val="1"/>
    </font>
    <font>
      <sz val="10"/>
      <name val="Humnst777 Lt BT"/>
    </font>
    <font>
      <b/>
      <sz val="11"/>
      <color rgb="FFC00000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vertAlign val="subscript"/>
      <sz val="11"/>
      <color theme="1"/>
      <name val="Century Gothic"/>
      <family val="2"/>
    </font>
    <font>
      <i/>
      <sz val="11"/>
      <color theme="1"/>
      <name val="Century Gothic"/>
      <family val="2"/>
    </font>
    <font>
      <i/>
      <vertAlign val="subscript"/>
      <sz val="11"/>
      <color theme="1"/>
      <name val="Century Gothic"/>
      <family val="2"/>
    </font>
    <font>
      <i/>
      <sz val="11"/>
      <name val="Century Gothic"/>
      <family val="2"/>
    </font>
    <font>
      <sz val="11"/>
      <name val="Century Gothic"/>
      <family val="2"/>
    </font>
    <font>
      <b/>
      <i/>
      <sz val="11"/>
      <color theme="1"/>
      <name val="Century Gothic"/>
      <family val="2"/>
    </font>
    <font>
      <b/>
      <i/>
      <vertAlign val="subscript"/>
      <sz val="11"/>
      <color theme="1"/>
      <name val="Century Gothic"/>
      <family val="2"/>
    </font>
    <font>
      <b/>
      <sz val="11"/>
      <color theme="0"/>
      <name val="Century Gothic"/>
      <family val="2"/>
    </font>
    <font>
      <b/>
      <i/>
      <sz val="11"/>
      <color theme="0"/>
      <name val="Century Gothic"/>
      <family val="2"/>
    </font>
    <font>
      <b/>
      <i/>
      <sz val="11"/>
      <name val="Century Gothic"/>
      <family val="2"/>
    </font>
    <font>
      <b/>
      <i/>
      <vertAlign val="subscript"/>
      <sz val="11"/>
      <name val="Century Gothic"/>
      <family val="2"/>
    </font>
    <font>
      <b/>
      <i/>
      <sz val="11"/>
      <color theme="0"/>
      <name val="Calibri"/>
      <family val="2"/>
    </font>
    <font>
      <sz val="11"/>
      <color theme="0"/>
      <name val="Century Gothic"/>
      <family val="2"/>
    </font>
    <font>
      <i/>
      <sz val="11"/>
      <color theme="0"/>
      <name val="Century Gothic"/>
      <family val="2"/>
    </font>
    <font>
      <i/>
      <vertAlign val="subscript"/>
      <sz val="11"/>
      <color theme="0"/>
      <name val="Century Gothic"/>
      <family val="2"/>
    </font>
    <font>
      <b/>
      <i/>
      <vertAlign val="subscript"/>
      <sz val="11"/>
      <color theme="0"/>
      <name val="Century Gothic"/>
      <family val="2"/>
    </font>
    <font>
      <b/>
      <vertAlign val="subscript"/>
      <sz val="11"/>
      <color theme="0"/>
      <name val="Century Gothic"/>
      <family val="2"/>
    </font>
  </fonts>
  <fills count="1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">
    <xf numFmtId="0" fontId="0" fillId="0" borderId="0"/>
    <xf numFmtId="9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43" fontId="18" fillId="0" borderId="0" applyFont="0" applyFill="0" applyBorder="0" applyAlignment="0" applyProtection="0"/>
    <xf numFmtId="0" fontId="25" fillId="0" borderId="0"/>
  </cellStyleXfs>
  <cellXfs count="283">
    <xf numFmtId="0" fontId="0" fillId="0" borderId="0" xfId="0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6" borderId="1" xfId="0" applyFont="1" applyFill="1" applyBorder="1" applyAlignment="1">
      <alignment horizontal="center" vertical="center" wrapText="1"/>
    </xf>
    <xf numFmtId="43" fontId="4" fillId="0" borderId="0" xfId="0" applyNumberFormat="1" applyFont="1"/>
    <xf numFmtId="0" fontId="7" fillId="0" borderId="0" xfId="0" applyFont="1"/>
    <xf numFmtId="0" fontId="6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41" fontId="7" fillId="0" borderId="1" xfId="0" applyNumberFormat="1" applyFont="1" applyBorder="1"/>
    <xf numFmtId="0" fontId="7" fillId="0" borderId="1" xfId="0" applyFont="1" applyBorder="1"/>
    <xf numFmtId="166" fontId="7" fillId="0" borderId="2" xfId="0" applyNumberFormat="1" applyFont="1" applyBorder="1"/>
    <xf numFmtId="43" fontId="7" fillId="0" borderId="3" xfId="0" applyNumberFormat="1" applyFont="1" applyBorder="1"/>
    <xf numFmtId="43" fontId="7" fillId="0" borderId="0" xfId="0" applyNumberFormat="1" applyFont="1"/>
    <xf numFmtId="0" fontId="7" fillId="0" borderId="2" xfId="0" applyFont="1" applyBorder="1"/>
    <xf numFmtId="0" fontId="7" fillId="0" borderId="3" xfId="0" applyFont="1" applyBorder="1"/>
    <xf numFmtId="43" fontId="7" fillId="5" borderId="0" xfId="0" applyNumberFormat="1" applyFont="1" applyFill="1"/>
    <xf numFmtId="165" fontId="7" fillId="0" borderId="0" xfId="0" applyNumberFormat="1" applyFont="1" applyAlignment="1">
      <alignment horizontal="left"/>
    </xf>
    <xf numFmtId="0" fontId="6" fillId="0" borderId="0" xfId="0" applyFont="1" applyAlignment="1">
      <alignment horizontal="right"/>
    </xf>
    <xf numFmtId="175" fontId="6" fillId="0" borderId="0" xfId="0" applyNumberFormat="1" applyFont="1" applyAlignment="1">
      <alignment horizontal="left"/>
    </xf>
    <xf numFmtId="0" fontId="6" fillId="6" borderId="3" xfId="2" applyFont="1" applyFill="1" applyBorder="1" applyAlignment="1">
      <alignment horizontal="center" vertical="center" wrapText="1"/>
    </xf>
    <xf numFmtId="174" fontId="6" fillId="0" borderId="16" xfId="0" applyNumberFormat="1" applyFont="1" applyBorder="1"/>
    <xf numFmtId="174" fontId="6" fillId="0" borderId="15" xfId="0" applyNumberFormat="1" applyFont="1" applyBorder="1"/>
    <xf numFmtId="0" fontId="4" fillId="0" borderId="0" xfId="2" applyFont="1"/>
    <xf numFmtId="0" fontId="10" fillId="7" borderId="6" xfId="7" applyFont="1" applyFill="1" applyBorder="1" applyAlignment="1">
      <alignment horizontal="center" vertical="center"/>
    </xf>
    <xf numFmtId="0" fontId="10" fillId="7" borderId="22" xfId="7" applyFont="1" applyFill="1" applyBorder="1" applyAlignment="1">
      <alignment horizontal="center" vertical="center"/>
    </xf>
    <xf numFmtId="0" fontId="10" fillId="7" borderId="13" xfId="2" applyFont="1" applyFill="1" applyBorder="1" applyAlignment="1">
      <alignment horizontal="center" vertical="center"/>
    </xf>
    <xf numFmtId="0" fontId="12" fillId="0" borderId="1" xfId="2" applyFont="1" applyBorder="1" applyAlignment="1">
      <alignment horizontal="center"/>
    </xf>
    <xf numFmtId="170" fontId="7" fillId="4" borderId="1" xfId="2" applyNumberFormat="1" applyFont="1" applyFill="1" applyBorder="1" applyAlignment="1">
      <alignment vertical="center" wrapText="1"/>
    </xf>
    <xf numFmtId="171" fontId="7" fillId="4" borderId="1" xfId="2" applyNumberFormat="1" applyFont="1" applyFill="1" applyBorder="1" applyAlignment="1">
      <alignment vertical="center" wrapText="1"/>
    </xf>
    <xf numFmtId="10" fontId="7" fillId="3" borderId="2" xfId="2" applyNumberFormat="1" applyFont="1" applyFill="1" applyBorder="1"/>
    <xf numFmtId="170" fontId="6" fillId="4" borderId="16" xfId="2" applyNumberFormat="1" applyFont="1" applyFill="1" applyBorder="1" applyAlignment="1">
      <alignment vertical="center" wrapText="1"/>
    </xf>
    <xf numFmtId="168" fontId="7" fillId="4" borderId="1" xfId="2" applyNumberFormat="1" applyFont="1" applyFill="1" applyBorder="1" applyAlignment="1">
      <alignment vertical="center" wrapText="1"/>
    </xf>
    <xf numFmtId="0" fontId="14" fillId="0" borderId="0" xfId="2" applyFont="1"/>
    <xf numFmtId="0" fontId="7" fillId="0" borderId="0" xfId="2" applyFont="1"/>
    <xf numFmtId="0" fontId="6" fillId="0" borderId="0" xfId="2" applyFont="1" applyAlignment="1">
      <alignment horizontal="center"/>
    </xf>
    <xf numFmtId="0" fontId="6" fillId="0" borderId="1" xfId="2" applyFont="1" applyBorder="1" applyAlignment="1">
      <alignment horizontal="center"/>
    </xf>
    <xf numFmtId="3" fontId="7" fillId="4" borderId="1" xfId="2" applyNumberFormat="1" applyFont="1" applyFill="1" applyBorder="1"/>
    <xf numFmtId="0" fontId="6" fillId="0" borderId="0" xfId="2" applyFont="1" applyAlignment="1">
      <alignment horizontal="right"/>
    </xf>
    <xf numFmtId="0" fontId="7" fillId="0" borderId="0" xfId="2" applyFont="1" applyAlignment="1">
      <alignment horizontal="center"/>
    </xf>
    <xf numFmtId="0" fontId="6" fillId="0" borderId="1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167" fontId="6" fillId="0" borderId="1" xfId="3" applyNumberFormat="1" applyFont="1" applyBorder="1" applyAlignment="1">
      <alignment horizontal="center" vertical="center"/>
    </xf>
    <xf numFmtId="2" fontId="6" fillId="0" borderId="1" xfId="2" applyNumberFormat="1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 wrapText="1"/>
    </xf>
    <xf numFmtId="167" fontId="7" fillId="0" borderId="0" xfId="3" applyNumberFormat="1" applyFont="1" applyBorder="1"/>
    <xf numFmtId="0" fontId="7" fillId="0" borderId="1" xfId="2" applyFont="1" applyBorder="1" applyAlignment="1">
      <alignment horizontal="center" vertical="center" wrapText="1"/>
    </xf>
    <xf numFmtId="0" fontId="7" fillId="0" borderId="10" xfId="2" applyFont="1" applyBorder="1" applyAlignment="1">
      <alignment vertical="center" wrapText="1"/>
    </xf>
    <xf numFmtId="167" fontId="7" fillId="4" borderId="1" xfId="2" applyNumberFormat="1" applyFont="1" applyFill="1" applyBorder="1" applyAlignment="1">
      <alignment horizontal="center" vertical="center" wrapText="1"/>
    </xf>
    <xf numFmtId="43" fontId="7" fillId="4" borderId="1" xfId="2" applyNumberFormat="1" applyFont="1" applyFill="1" applyBorder="1" applyAlignment="1">
      <alignment vertical="center" wrapText="1"/>
    </xf>
    <xf numFmtId="43" fontId="7" fillId="0" borderId="0" xfId="3" applyFont="1" applyBorder="1" applyAlignment="1">
      <alignment wrapText="1"/>
    </xf>
    <xf numFmtId="0" fontId="7" fillId="0" borderId="0" xfId="2" applyFont="1" applyAlignment="1">
      <alignment wrapText="1"/>
    </xf>
    <xf numFmtId="0" fontId="7" fillId="0" borderId="1" xfId="2" applyFont="1" applyBorder="1" applyAlignment="1">
      <alignment horizontal="center" vertical="center"/>
    </xf>
    <xf numFmtId="43" fontId="7" fillId="4" borderId="1" xfId="2" applyNumberFormat="1" applyFont="1" applyFill="1" applyBorder="1" applyAlignment="1">
      <alignment vertical="center"/>
    </xf>
    <xf numFmtId="43" fontId="7" fillId="0" borderId="0" xfId="3" applyFont="1" applyBorder="1"/>
    <xf numFmtId="167" fontId="7" fillId="0" borderId="0" xfId="2" applyNumberFormat="1" applyFont="1"/>
    <xf numFmtId="43" fontId="6" fillId="4" borderId="1" xfId="2" applyNumberFormat="1" applyFont="1" applyFill="1" applyBorder="1" applyAlignment="1">
      <alignment vertical="center"/>
    </xf>
    <xf numFmtId="9" fontId="6" fillId="4" borderId="1" xfId="1" applyFont="1" applyFill="1" applyBorder="1" applyAlignment="1">
      <alignment vertical="center"/>
    </xf>
    <xf numFmtId="9" fontId="6" fillId="4" borderId="1" xfId="1" applyFont="1" applyFill="1" applyBorder="1"/>
    <xf numFmtId="0" fontId="6" fillId="0" borderId="0" xfId="2" applyFont="1"/>
    <xf numFmtId="0" fontId="7" fillId="0" borderId="0" xfId="0" applyFont="1" applyAlignment="1">
      <alignment horizontal="center"/>
    </xf>
    <xf numFmtId="9" fontId="6" fillId="0" borderId="0" xfId="1" applyFont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Border="1"/>
    <xf numFmtId="43" fontId="7" fillId="0" borderId="1" xfId="0" applyNumberFormat="1" applyFont="1" applyBorder="1"/>
    <xf numFmtId="3" fontId="7" fillId="0" borderId="1" xfId="0" applyNumberFormat="1" applyFont="1" applyBorder="1"/>
    <xf numFmtId="43" fontId="6" fillId="0" borderId="0" xfId="0" applyNumberFormat="1" applyFont="1"/>
    <xf numFmtId="165" fontId="7" fillId="0" borderId="1" xfId="0" applyNumberFormat="1" applyFont="1" applyBorder="1"/>
    <xf numFmtId="165" fontId="7" fillId="0" borderId="2" xfId="0" applyNumberFormat="1" applyFont="1" applyBorder="1"/>
    <xf numFmtId="43" fontId="7" fillId="0" borderId="3" xfId="0" applyNumberFormat="1" applyFont="1" applyBorder="1" applyAlignment="1">
      <alignment horizontal="center" vertical="center" wrapText="1"/>
    </xf>
    <xf numFmtId="43" fontId="7" fillId="0" borderId="2" xfId="0" applyNumberFormat="1" applyFont="1" applyBorder="1"/>
    <xf numFmtId="0" fontId="16" fillId="0" borderId="0" xfId="0" applyFont="1"/>
    <xf numFmtId="4" fontId="7" fillId="0" borderId="0" xfId="0" applyNumberFormat="1" applyFont="1"/>
    <xf numFmtId="4" fontId="6" fillId="0" borderId="0" xfId="0" applyNumberFormat="1" applyFont="1" applyAlignment="1">
      <alignment horizontal="left"/>
    </xf>
    <xf numFmtId="0" fontId="6" fillId="0" borderId="15" xfId="0" applyFont="1" applyBorder="1"/>
    <xf numFmtId="0" fontId="6" fillId="6" borderId="1" xfId="0" applyFont="1" applyFill="1" applyBorder="1" applyAlignment="1">
      <alignment horizontal="center" vertical="center" wrapText="1"/>
    </xf>
    <xf numFmtId="176" fontId="7" fillId="0" borderId="1" xfId="0" applyNumberFormat="1" applyFont="1" applyBorder="1"/>
    <xf numFmtId="177" fontId="7" fillId="0" borderId="1" xfId="0" applyNumberFormat="1" applyFont="1" applyBorder="1" applyAlignment="1">
      <alignment horizontal="center"/>
    </xf>
    <xf numFmtId="167" fontId="7" fillId="0" borderId="1" xfId="0" applyNumberFormat="1" applyFont="1" applyBorder="1"/>
    <xf numFmtId="170" fontId="6" fillId="0" borderId="1" xfId="0" applyNumberFormat="1" applyFont="1" applyBorder="1"/>
    <xf numFmtId="0" fontId="7" fillId="0" borderId="0" xfId="0" applyFont="1" applyAlignment="1">
      <alignment vertical="center"/>
    </xf>
    <xf numFmtId="0" fontId="10" fillId="7" borderId="6" xfId="2" applyFont="1" applyFill="1" applyBorder="1" applyAlignment="1">
      <alignment horizontal="center" vertical="center"/>
    </xf>
    <xf numFmtId="0" fontId="10" fillId="7" borderId="17" xfId="2" applyFont="1" applyFill="1" applyBorder="1" applyAlignment="1">
      <alignment horizontal="center" vertical="center"/>
    </xf>
    <xf numFmtId="0" fontId="10" fillId="7" borderId="14" xfId="2" applyFont="1" applyFill="1" applyBorder="1" applyAlignment="1">
      <alignment horizontal="center" vertical="center"/>
    </xf>
    <xf numFmtId="43" fontId="6" fillId="4" borderId="4" xfId="2" applyNumberFormat="1" applyFont="1" applyFill="1" applyBorder="1" applyAlignment="1">
      <alignment vertical="center"/>
    </xf>
    <xf numFmtId="0" fontId="10" fillId="7" borderId="13" xfId="2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wrapText="1"/>
    </xf>
    <xf numFmtId="174" fontId="6" fillId="0" borderId="18" xfId="0" applyNumberFormat="1" applyFont="1" applyBorder="1"/>
    <xf numFmtId="172" fontId="7" fillId="0" borderId="3" xfId="0" applyNumberFormat="1" applyFont="1" applyBorder="1"/>
    <xf numFmtId="41" fontId="7" fillId="0" borderId="0" xfId="0" applyNumberFormat="1" applyFont="1" applyAlignment="1">
      <alignment vertical="center"/>
    </xf>
    <xf numFmtId="41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173" fontId="6" fillId="0" borderId="0" xfId="0" applyNumberFormat="1" applyFont="1"/>
    <xf numFmtId="0" fontId="4" fillId="0" borderId="0" xfId="0" applyFont="1" applyAlignment="1">
      <alignment vertical="center"/>
    </xf>
    <xf numFmtId="4" fontId="6" fillId="6" borderId="1" xfId="0" applyNumberFormat="1" applyFont="1" applyFill="1" applyBorder="1" applyAlignment="1">
      <alignment horizontal="center" vertical="center" wrapText="1"/>
    </xf>
    <xf numFmtId="4" fontId="7" fillId="0" borderId="1" xfId="0" applyNumberFormat="1" applyFont="1" applyBorder="1"/>
    <xf numFmtId="4" fontId="7" fillId="0" borderId="2" xfId="0" applyNumberFormat="1" applyFont="1" applyBorder="1"/>
    <xf numFmtId="4" fontId="7" fillId="0" borderId="3" xfId="0" applyNumberFormat="1" applyFont="1" applyBorder="1"/>
    <xf numFmtId="0" fontId="7" fillId="0" borderId="1" xfId="0" applyFont="1" applyBorder="1" applyAlignment="1">
      <alignment vertical="center" wrapText="1"/>
    </xf>
    <xf numFmtId="4" fontId="7" fillId="0" borderId="1" xfId="0" applyNumberFormat="1" applyFont="1" applyBorder="1" applyAlignment="1">
      <alignment vertical="center"/>
    </xf>
    <xf numFmtId="4" fontId="7" fillId="0" borderId="2" xfId="0" applyNumberFormat="1" applyFont="1" applyBorder="1" applyAlignment="1">
      <alignment vertical="center"/>
    </xf>
    <xf numFmtId="4" fontId="7" fillId="0" borderId="3" xfId="0" applyNumberFormat="1" applyFont="1" applyBorder="1" applyAlignment="1">
      <alignment vertical="center"/>
    </xf>
    <xf numFmtId="2" fontId="4" fillId="0" borderId="0" xfId="0" applyNumberFormat="1" applyFont="1" applyAlignment="1">
      <alignment vertical="center"/>
    </xf>
    <xf numFmtId="0" fontId="17" fillId="0" borderId="1" xfId="2" applyFont="1" applyBorder="1" applyAlignment="1">
      <alignment horizontal="center" vertical="center"/>
    </xf>
    <xf numFmtId="0" fontId="17" fillId="0" borderId="1" xfId="2" applyFont="1" applyBorder="1" applyAlignment="1">
      <alignment vertical="center" wrapText="1"/>
    </xf>
    <xf numFmtId="0" fontId="7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0" fontId="7" fillId="0" borderId="1" xfId="2" applyFont="1" applyBorder="1" applyAlignment="1">
      <alignment vertical="center" wrapText="1"/>
    </xf>
    <xf numFmtId="9" fontId="7" fillId="0" borderId="1" xfId="1" applyFont="1" applyBorder="1" applyAlignment="1"/>
    <xf numFmtId="0" fontId="6" fillId="6" borderId="1" xfId="0" applyFont="1" applyFill="1" applyBorder="1" applyAlignment="1">
      <alignment vertical="center" wrapText="1"/>
    </xf>
    <xf numFmtId="170" fontId="7" fillId="4" borderId="2" xfId="2" applyNumberFormat="1" applyFont="1" applyFill="1" applyBorder="1" applyAlignment="1">
      <alignment vertical="center" wrapText="1"/>
    </xf>
    <xf numFmtId="0" fontId="11" fillId="7" borderId="12" xfId="7" applyFont="1" applyFill="1" applyBorder="1" applyAlignment="1">
      <alignment horizontal="center" vertical="center"/>
    </xf>
    <xf numFmtId="0" fontId="11" fillId="7" borderId="12" xfId="2" applyFont="1" applyFill="1" applyBorder="1" applyAlignment="1">
      <alignment horizontal="center" vertical="center"/>
    </xf>
    <xf numFmtId="0" fontId="11" fillId="7" borderId="23" xfId="2" applyFont="1" applyFill="1" applyBorder="1" applyAlignment="1">
      <alignment horizontal="center" vertical="center"/>
    </xf>
    <xf numFmtId="0" fontId="11" fillId="7" borderId="24" xfId="2" applyFont="1" applyFill="1" applyBorder="1" applyAlignment="1">
      <alignment horizontal="center" vertical="center"/>
    </xf>
    <xf numFmtId="167" fontId="6" fillId="0" borderId="1" xfId="3" applyNumberFormat="1" applyFont="1" applyBorder="1" applyAlignment="1">
      <alignment horizontal="center" vertical="center" wrapText="1"/>
    </xf>
    <xf numFmtId="179" fontId="6" fillId="0" borderId="1" xfId="0" applyNumberFormat="1" applyFont="1" applyBorder="1"/>
    <xf numFmtId="179" fontId="6" fillId="0" borderId="16" xfId="0" applyNumberFormat="1" applyFont="1" applyBorder="1"/>
    <xf numFmtId="165" fontId="6" fillId="0" borderId="0" xfId="0" applyNumberFormat="1" applyFont="1" applyAlignment="1">
      <alignment horizontal="left"/>
    </xf>
    <xf numFmtId="180" fontId="7" fillId="0" borderId="1" xfId="0" applyNumberFormat="1" applyFont="1" applyBorder="1" applyAlignment="1">
      <alignment horizontal="center" vertical="center"/>
    </xf>
    <xf numFmtId="180" fontId="7" fillId="0" borderId="2" xfId="0" applyNumberFormat="1" applyFont="1" applyBorder="1" applyAlignment="1">
      <alignment horizontal="center" vertical="center"/>
    </xf>
    <xf numFmtId="49" fontId="7" fillId="4" borderId="1" xfId="2" applyNumberFormat="1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/>
    </xf>
    <xf numFmtId="0" fontId="6" fillId="8" borderId="2" xfId="0" applyFont="1" applyFill="1" applyBorder="1" applyAlignment="1">
      <alignment horizontal="center" vertical="center"/>
    </xf>
    <xf numFmtId="181" fontId="7" fillId="0" borderId="1" xfId="0" applyNumberFormat="1" applyFont="1" applyBorder="1"/>
    <xf numFmtId="1" fontId="7" fillId="0" borderId="0" xfId="2" applyNumberFormat="1" applyFont="1"/>
    <xf numFmtId="182" fontId="0" fillId="0" borderId="0" xfId="0" applyNumberFormat="1"/>
    <xf numFmtId="181" fontId="4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44" fontId="6" fillId="0" borderId="1" xfId="0" applyNumberFormat="1" applyFont="1" applyBorder="1" applyAlignment="1">
      <alignment horizontal="center" vertical="center"/>
    </xf>
    <xf numFmtId="44" fontId="7" fillId="0" borderId="1" xfId="0" applyNumberFormat="1" applyFont="1" applyBorder="1" applyAlignment="1">
      <alignment vertical="center"/>
    </xf>
    <xf numFmtId="186" fontId="7" fillId="0" borderId="0" xfId="2" applyNumberFormat="1" applyFont="1"/>
    <xf numFmtId="9" fontId="7" fillId="0" borderId="0" xfId="1" applyFont="1"/>
    <xf numFmtId="9" fontId="6" fillId="0" borderId="7" xfId="6" applyFont="1" applyBorder="1" applyAlignment="1"/>
    <xf numFmtId="0" fontId="6" fillId="0" borderId="2" xfId="0" applyFont="1" applyBorder="1" applyAlignment="1">
      <alignment horizontal="right"/>
    </xf>
    <xf numFmtId="0" fontId="6" fillId="10" borderId="1" xfId="0" applyFont="1" applyFill="1" applyBorder="1" applyAlignment="1">
      <alignment horizontal="center" vertical="center"/>
    </xf>
    <xf numFmtId="9" fontId="16" fillId="0" borderId="7" xfId="6" applyFont="1" applyBorder="1" applyAlignment="1"/>
    <xf numFmtId="164" fontId="7" fillId="0" borderId="1" xfId="0" applyNumberFormat="1" applyFont="1" applyBorder="1"/>
    <xf numFmtId="0" fontId="7" fillId="3" borderId="2" xfId="6" applyNumberFormat="1" applyFont="1" applyFill="1" applyBorder="1" applyAlignment="1">
      <alignment vertical="center"/>
    </xf>
    <xf numFmtId="43" fontId="7" fillId="4" borderId="2" xfId="2" applyNumberFormat="1" applyFont="1" applyFill="1" applyBorder="1" applyAlignment="1">
      <alignment vertical="center"/>
    </xf>
    <xf numFmtId="0" fontId="6" fillId="0" borderId="2" xfId="0" applyFont="1" applyBorder="1" applyAlignment="1">
      <alignment horizontal="right" wrapText="1"/>
    </xf>
    <xf numFmtId="9" fontId="7" fillId="0" borderId="1" xfId="6" applyFont="1" applyBorder="1" applyAlignment="1">
      <alignment horizontal="center" vertical="center"/>
    </xf>
    <xf numFmtId="44" fontId="7" fillId="9" borderId="0" xfId="0" applyNumberFormat="1" applyFont="1" applyFill="1"/>
    <xf numFmtId="0" fontId="5" fillId="6" borderId="27" xfId="0" applyFont="1" applyFill="1" applyBorder="1" applyAlignment="1">
      <alignment horizontal="center" vertical="center" wrapText="1"/>
    </xf>
    <xf numFmtId="178" fontId="5" fillId="0" borderId="4" xfId="0" applyNumberFormat="1" applyFont="1" applyBorder="1" applyAlignment="1">
      <alignment horizontal="center" vertical="center"/>
    </xf>
    <xf numFmtId="183" fontId="6" fillId="0" borderId="1" xfId="6" applyNumberFormat="1" applyFont="1" applyBorder="1" applyAlignment="1">
      <alignment horizontal="center"/>
    </xf>
    <xf numFmtId="0" fontId="6" fillId="8" borderId="27" xfId="0" applyFont="1" applyFill="1" applyBorder="1" applyAlignment="1">
      <alignment horizontal="center" vertical="center" wrapText="1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0" fontId="7" fillId="4" borderId="1" xfId="2" applyFont="1" applyFill="1" applyBorder="1" applyAlignment="1">
      <alignment horizontal="center" vertical="center" wrapText="1"/>
    </xf>
    <xf numFmtId="0" fontId="6" fillId="8" borderId="34" xfId="0" applyFont="1" applyFill="1" applyBorder="1" applyAlignment="1">
      <alignment horizontal="center" vertical="center" wrapText="1"/>
    </xf>
    <xf numFmtId="0" fontId="6" fillId="8" borderId="29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center"/>
    </xf>
    <xf numFmtId="179" fontId="6" fillId="0" borderId="29" xfId="0" applyNumberFormat="1" applyFont="1" applyBorder="1"/>
    <xf numFmtId="0" fontId="7" fillId="0" borderId="32" xfId="0" applyFont="1" applyBorder="1" applyAlignment="1">
      <alignment horizontal="center"/>
    </xf>
    <xf numFmtId="179" fontId="6" fillId="0" borderId="33" xfId="0" applyNumberFormat="1" applyFont="1" applyBorder="1"/>
    <xf numFmtId="179" fontId="6" fillId="0" borderId="30" xfId="0" applyNumberFormat="1" applyFont="1" applyBorder="1"/>
    <xf numFmtId="0" fontId="6" fillId="8" borderId="34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vertical="center" wrapText="1"/>
    </xf>
    <xf numFmtId="180" fontId="7" fillId="0" borderId="33" xfId="0" applyNumberFormat="1" applyFont="1" applyBorder="1" applyAlignment="1">
      <alignment horizontal="center" vertical="center"/>
    </xf>
    <xf numFmtId="180" fontId="7" fillId="0" borderId="39" xfId="0" applyNumberFormat="1" applyFont="1" applyBorder="1" applyAlignment="1">
      <alignment horizontal="center" vertical="center"/>
    </xf>
    <xf numFmtId="0" fontId="22" fillId="12" borderId="42" xfId="0" applyFont="1" applyFill="1" applyBorder="1" applyAlignment="1">
      <alignment horizontal="center" vertical="center" wrapText="1"/>
    </xf>
    <xf numFmtId="0" fontId="23" fillId="12" borderId="1" xfId="0" applyFont="1" applyFill="1" applyBorder="1" applyAlignment="1">
      <alignment horizontal="center" vertical="center" wrapText="1"/>
    </xf>
    <xf numFmtId="0" fontId="24" fillId="0" borderId="42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2" fontId="17" fillId="0" borderId="1" xfId="0" applyNumberFormat="1" applyFont="1" applyBorder="1" applyAlignment="1">
      <alignment horizontal="center" vertical="center"/>
    </xf>
    <xf numFmtId="0" fontId="24" fillId="0" borderId="42" xfId="0" applyFont="1" applyBorder="1" applyAlignment="1">
      <alignment horizontal="center" vertical="center"/>
    </xf>
    <xf numFmtId="9" fontId="4" fillId="0" borderId="0" xfId="1" applyFont="1"/>
    <xf numFmtId="0" fontId="6" fillId="0" borderId="14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8" borderId="0" xfId="0" applyFont="1" applyFill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167" fontId="6" fillId="0" borderId="0" xfId="3" applyNumberFormat="1" applyFont="1" applyBorder="1" applyAlignment="1">
      <alignment horizontal="right" vertical="center" wrapText="1"/>
    </xf>
    <xf numFmtId="0" fontId="6" fillId="0" borderId="20" xfId="2" applyFont="1" applyBorder="1" applyAlignment="1">
      <alignment horizontal="center"/>
    </xf>
    <xf numFmtId="0" fontId="6" fillId="0" borderId="0" xfId="2" applyFont="1" applyAlignment="1">
      <alignment horizontal="center"/>
    </xf>
    <xf numFmtId="0" fontId="6" fillId="0" borderId="9" xfId="2" applyFont="1" applyBorder="1" applyAlignment="1">
      <alignment horizontal="center"/>
    </xf>
    <xf numFmtId="0" fontId="8" fillId="0" borderId="0" xfId="2" applyFont="1" applyAlignment="1">
      <alignment horizontal="center"/>
    </xf>
    <xf numFmtId="0" fontId="9" fillId="0" borderId="0" xfId="2" applyFont="1" applyAlignment="1">
      <alignment horizontal="center" vertical="center"/>
    </xf>
    <xf numFmtId="0" fontId="13" fillId="0" borderId="11" xfId="2" applyFont="1" applyBorder="1" applyAlignment="1">
      <alignment horizontal="center"/>
    </xf>
    <xf numFmtId="0" fontId="13" fillId="0" borderId="0" xfId="2" applyFont="1" applyAlignment="1">
      <alignment horizontal="center"/>
    </xf>
    <xf numFmtId="0" fontId="15" fillId="0" borderId="20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8" borderId="7" xfId="0" applyFont="1" applyFill="1" applyBorder="1" applyAlignment="1">
      <alignment horizontal="center" vertical="center"/>
    </xf>
    <xf numFmtId="0" fontId="6" fillId="8" borderId="20" xfId="0" applyFont="1" applyFill="1" applyBorder="1" applyAlignment="1">
      <alignment horizontal="center" vertical="center"/>
    </xf>
    <xf numFmtId="0" fontId="8" fillId="0" borderId="11" xfId="2" applyFont="1" applyBorder="1" applyAlignment="1">
      <alignment horizontal="center"/>
    </xf>
    <xf numFmtId="0" fontId="9" fillId="0" borderId="0" xfId="2" applyFont="1" applyAlignment="1">
      <alignment horizontal="center"/>
    </xf>
    <xf numFmtId="0" fontId="6" fillId="0" borderId="26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7" fillId="0" borderId="46" xfId="10" applyFont="1" applyBorder="1" applyAlignment="1" applyProtection="1">
      <alignment horizontal="left" vertical="center" wrapText="1"/>
      <protection locked="0"/>
    </xf>
    <xf numFmtId="0" fontId="7" fillId="0" borderId="47" xfId="10" applyFont="1" applyBorder="1" applyAlignment="1" applyProtection="1">
      <alignment horizontal="left" vertical="center" wrapText="1"/>
      <protection locked="0"/>
    </xf>
    <xf numFmtId="0" fontId="7" fillId="0" borderId="48" xfId="10" applyFont="1" applyBorder="1" applyAlignment="1" applyProtection="1">
      <alignment horizontal="left" vertical="center" wrapText="1"/>
      <protection locked="0"/>
    </xf>
    <xf numFmtId="0" fontId="7" fillId="0" borderId="49" xfId="10" applyFont="1" applyBorder="1" applyAlignment="1" applyProtection="1">
      <alignment horizontal="left" vertical="center" wrapText="1"/>
      <protection locked="0"/>
    </xf>
    <xf numFmtId="0" fontId="5" fillId="11" borderId="40" xfId="0" applyFont="1" applyFill="1" applyBorder="1" applyAlignment="1">
      <alignment horizontal="center" vertical="center"/>
    </xf>
    <xf numFmtId="0" fontId="5" fillId="11" borderId="41" xfId="0" applyFont="1" applyFill="1" applyBorder="1" applyAlignment="1">
      <alignment horizontal="center" vertical="center"/>
    </xf>
    <xf numFmtId="0" fontId="5" fillId="12" borderId="42" xfId="0" applyFont="1" applyFill="1" applyBorder="1" applyAlignment="1">
      <alignment horizontal="center" vertical="center" wrapText="1"/>
    </xf>
    <xf numFmtId="0" fontId="5" fillId="12" borderId="43" xfId="0" applyFont="1" applyFill="1" applyBorder="1" applyAlignment="1">
      <alignment horizontal="center" vertical="center" wrapText="1"/>
    </xf>
    <xf numFmtId="0" fontId="7" fillId="0" borderId="44" xfId="10" applyFont="1" applyBorder="1" applyAlignment="1" applyProtection="1">
      <alignment horizontal="left" vertical="center" wrapText="1"/>
      <protection locked="0"/>
    </xf>
    <xf numFmtId="0" fontId="7" fillId="0" borderId="45" xfId="10" applyFont="1" applyBorder="1" applyAlignment="1" applyProtection="1">
      <alignment horizontal="left" vertical="center" wrapText="1"/>
      <protection locked="0"/>
    </xf>
    <xf numFmtId="0" fontId="26" fillId="9" borderId="25" xfId="0" applyFont="1" applyFill="1" applyBorder="1"/>
    <xf numFmtId="0" fontId="27" fillId="9" borderId="0" xfId="0" applyFont="1" applyFill="1" applyAlignment="1">
      <alignment horizontal="center" vertical="center"/>
    </xf>
    <xf numFmtId="0" fontId="26" fillId="9" borderId="0" xfId="0" applyFont="1" applyFill="1" applyAlignment="1">
      <alignment horizontal="center"/>
    </xf>
    <xf numFmtId="0" fontId="26" fillId="9" borderId="35" xfId="0" applyFont="1" applyFill="1" applyBorder="1" applyAlignment="1">
      <alignment horizontal="center"/>
    </xf>
    <xf numFmtId="0" fontId="28" fillId="9" borderId="27" xfId="0" applyFont="1" applyFill="1" applyBorder="1" applyAlignment="1">
      <alignment vertical="center"/>
    </xf>
    <xf numFmtId="9" fontId="28" fillId="9" borderId="38" xfId="1" applyFont="1" applyFill="1" applyBorder="1" applyAlignment="1" applyProtection="1">
      <alignment horizontal="center" vertical="center"/>
    </xf>
    <xf numFmtId="0" fontId="30" fillId="9" borderId="4" xfId="0" applyFont="1" applyFill="1" applyBorder="1" applyAlignment="1">
      <alignment vertical="center"/>
    </xf>
    <xf numFmtId="167" fontId="33" fillId="9" borderId="50" xfId="9" applyNumberFormat="1" applyFont="1" applyFill="1" applyBorder="1" applyAlignment="1" applyProtection="1">
      <alignment horizontal="center" vertical="center"/>
    </xf>
    <xf numFmtId="0" fontId="28" fillId="9" borderId="4" xfId="0" applyFont="1" applyFill="1" applyBorder="1" applyAlignment="1">
      <alignment vertical="center"/>
    </xf>
    <xf numFmtId="43" fontId="28" fillId="9" borderId="50" xfId="0" applyNumberFormat="1" applyFont="1" applyFill="1" applyBorder="1" applyAlignment="1">
      <alignment horizontal="center" vertical="center"/>
    </xf>
    <xf numFmtId="0" fontId="28" fillId="9" borderId="5" xfId="0" applyFont="1" applyFill="1" applyBorder="1" applyAlignment="1">
      <alignment vertical="center"/>
    </xf>
    <xf numFmtId="0" fontId="27" fillId="9" borderId="11" xfId="0" applyFont="1" applyFill="1" applyBorder="1" applyAlignment="1">
      <alignment horizontal="center" vertical="center"/>
    </xf>
    <xf numFmtId="0" fontId="28" fillId="9" borderId="26" xfId="0" applyFont="1" applyFill="1" applyBorder="1" applyAlignment="1">
      <alignment vertical="center"/>
    </xf>
    <xf numFmtId="0" fontId="27" fillId="9" borderId="36" xfId="0" applyFont="1" applyFill="1" applyBorder="1" applyAlignment="1">
      <alignment horizontal="center" vertical="center"/>
    </xf>
    <xf numFmtId="0" fontId="28" fillId="9" borderId="22" xfId="0" applyFont="1" applyFill="1" applyBorder="1"/>
    <xf numFmtId="0" fontId="28" fillId="9" borderId="35" xfId="0" applyFont="1" applyFill="1" applyBorder="1"/>
    <xf numFmtId="2" fontId="28" fillId="0" borderId="22" xfId="0" applyNumberFormat="1" applyFont="1" applyBorder="1" applyAlignment="1">
      <alignment horizontal="center" vertical="center"/>
    </xf>
    <xf numFmtId="2" fontId="28" fillId="0" borderId="50" xfId="0" applyNumberFormat="1" applyFont="1" applyBorder="1" applyAlignment="1">
      <alignment horizontal="center" vertical="center"/>
    </xf>
    <xf numFmtId="0" fontId="36" fillId="13" borderId="4" xfId="0" applyFont="1" applyFill="1" applyBorder="1" applyAlignment="1">
      <alignment vertical="center"/>
    </xf>
    <xf numFmtId="2" fontId="36" fillId="13" borderId="51" xfId="0" applyNumberFormat="1" applyFont="1" applyFill="1" applyBorder="1" applyAlignment="1">
      <alignment horizontal="center" vertical="center"/>
    </xf>
    <xf numFmtId="0" fontId="36" fillId="13" borderId="5" xfId="0" applyFont="1" applyFill="1" applyBorder="1" applyAlignment="1">
      <alignment vertical="center"/>
    </xf>
    <xf numFmtId="2" fontId="36" fillId="13" borderId="52" xfId="0" applyNumberFormat="1" applyFont="1" applyFill="1" applyBorder="1" applyAlignment="1">
      <alignment horizontal="center" vertical="center"/>
    </xf>
    <xf numFmtId="0" fontId="28" fillId="9" borderId="26" xfId="0" applyFont="1" applyFill="1" applyBorder="1"/>
    <xf numFmtId="0" fontId="27" fillId="9" borderId="36" xfId="0" applyFont="1" applyFill="1" applyBorder="1" applyAlignment="1">
      <alignment horizontal="center"/>
    </xf>
    <xf numFmtId="167" fontId="28" fillId="9" borderId="22" xfId="9" applyNumberFormat="1" applyFont="1" applyFill="1" applyBorder="1" applyAlignment="1" applyProtection="1">
      <alignment horizontal="center"/>
    </xf>
    <xf numFmtId="0" fontId="30" fillId="9" borderId="27" xfId="0" applyFont="1" applyFill="1" applyBorder="1" applyAlignment="1">
      <alignment vertical="center"/>
    </xf>
    <xf numFmtId="0" fontId="28" fillId="0" borderId="0" xfId="0" applyFont="1" applyAlignment="1">
      <alignment vertical="center"/>
    </xf>
    <xf numFmtId="183" fontId="28" fillId="9" borderId="38" xfId="1" applyNumberFormat="1" applyFont="1" applyFill="1" applyBorder="1" applyAlignment="1" applyProtection="1">
      <alignment horizontal="center" vertical="center"/>
    </xf>
    <xf numFmtId="10" fontId="28" fillId="9" borderId="50" xfId="0" applyNumberFormat="1" applyFont="1" applyFill="1" applyBorder="1" applyAlignment="1">
      <alignment horizontal="center" vertical="center"/>
    </xf>
    <xf numFmtId="0" fontId="33" fillId="9" borderId="4" xfId="0" applyFont="1" applyFill="1" applyBorder="1" applyAlignment="1">
      <alignment vertical="center"/>
    </xf>
    <xf numFmtId="10" fontId="36" fillId="13" borderId="50" xfId="1" applyNumberFormat="1" applyFont="1" applyFill="1" applyBorder="1" applyAlignment="1" applyProtection="1">
      <alignment horizontal="center" vertical="center"/>
    </xf>
    <xf numFmtId="0" fontId="37" fillId="13" borderId="4" xfId="0" applyFont="1" applyFill="1" applyBorder="1" applyAlignment="1">
      <alignment vertical="center"/>
    </xf>
    <xf numFmtId="187" fontId="36" fillId="13" borderId="50" xfId="9" applyNumberFormat="1" applyFont="1" applyFill="1" applyBorder="1" applyAlignment="1" applyProtection="1">
      <alignment vertical="center"/>
    </xf>
    <xf numFmtId="0" fontId="41" fillId="13" borderId="4" xfId="0" applyFont="1" applyFill="1" applyBorder="1" applyAlignment="1">
      <alignment vertical="center"/>
    </xf>
    <xf numFmtId="167" fontId="41" fillId="13" borderId="50" xfId="9" applyNumberFormat="1" applyFont="1" applyFill="1" applyBorder="1" applyAlignment="1" applyProtection="1">
      <alignment horizontal="center" vertical="center"/>
    </xf>
    <xf numFmtId="0" fontId="28" fillId="14" borderId="4" xfId="0" applyFont="1" applyFill="1" applyBorder="1" applyAlignment="1">
      <alignment vertical="center"/>
    </xf>
    <xf numFmtId="0" fontId="27" fillId="9" borderId="0" xfId="0" applyFont="1" applyFill="1" applyAlignment="1">
      <alignment horizontal="center"/>
    </xf>
    <xf numFmtId="184" fontId="28" fillId="9" borderId="50" xfId="9" applyNumberFormat="1" applyFont="1" applyFill="1" applyBorder="1" applyAlignment="1" applyProtection="1">
      <alignment horizontal="center" vertical="center"/>
    </xf>
    <xf numFmtId="0" fontId="28" fillId="0" borderId="0" xfId="0" applyFont="1"/>
    <xf numFmtId="184" fontId="36" fillId="13" borderId="50" xfId="9" applyNumberFormat="1" applyFont="1" applyFill="1" applyBorder="1" applyAlignment="1" applyProtection="1">
      <alignment horizontal="center" vertical="center"/>
    </xf>
    <xf numFmtId="185" fontId="36" fillId="13" borderId="52" xfId="9" applyNumberFormat="1" applyFont="1" applyFill="1" applyBorder="1" applyAlignment="1" applyProtection="1">
      <alignment horizontal="center" vertical="center"/>
    </xf>
    <xf numFmtId="0" fontId="28" fillId="9" borderId="25" xfId="0" applyFont="1" applyFill="1" applyBorder="1"/>
    <xf numFmtId="0" fontId="28" fillId="9" borderId="35" xfId="0" applyFont="1" applyFill="1" applyBorder="1" applyAlignment="1">
      <alignment horizontal="center"/>
    </xf>
    <xf numFmtId="0" fontId="36" fillId="13" borderId="14" xfId="0" applyFont="1" applyFill="1" applyBorder="1" applyAlignment="1">
      <alignment vertical="center"/>
    </xf>
    <xf numFmtId="0" fontId="28" fillId="9" borderId="0" xfId="0" applyFont="1" applyFill="1"/>
    <xf numFmtId="167" fontId="36" fillId="13" borderId="38" xfId="9" applyNumberFormat="1" applyFont="1" applyFill="1" applyBorder="1" applyAlignment="1" applyProtection="1">
      <alignment horizontal="center" vertical="center"/>
    </xf>
    <xf numFmtId="0" fontId="36" fillId="13" borderId="31" xfId="0" applyFont="1" applyFill="1" applyBorder="1" applyAlignment="1">
      <alignment vertical="center"/>
    </xf>
    <xf numFmtId="167" fontId="41" fillId="13" borderId="52" xfId="9" applyNumberFormat="1" applyFont="1" applyFill="1" applyBorder="1" applyAlignment="1" applyProtection="1">
      <alignment horizontal="center" vertical="center"/>
    </xf>
    <xf numFmtId="0" fontId="41" fillId="15" borderId="13" xfId="0" applyFont="1" applyFill="1" applyBorder="1" applyAlignment="1">
      <alignment vertical="center"/>
    </xf>
    <xf numFmtId="167" fontId="36" fillId="13" borderId="28" xfId="9" applyNumberFormat="1" applyFont="1" applyFill="1" applyBorder="1" applyAlignment="1" applyProtection="1">
      <alignment horizontal="center" vertical="center"/>
    </xf>
    <xf numFmtId="167" fontId="36" fillId="13" borderId="29" xfId="9" applyNumberFormat="1" applyFont="1" applyFill="1" applyBorder="1" applyAlignment="1" applyProtection="1">
      <alignment horizontal="center" vertical="center"/>
    </xf>
    <xf numFmtId="0" fontId="20" fillId="13" borderId="5" xfId="0" applyFont="1" applyFill="1" applyBorder="1" applyAlignment="1">
      <alignment vertical="center"/>
    </xf>
    <xf numFmtId="167" fontId="20" fillId="13" borderId="30" xfId="9" applyNumberFormat="1" applyFont="1" applyFill="1" applyBorder="1" applyAlignment="1" applyProtection="1">
      <alignment horizontal="center" vertical="center"/>
    </xf>
    <xf numFmtId="167" fontId="21" fillId="9" borderId="35" xfId="9" applyNumberFormat="1" applyFont="1" applyFill="1" applyBorder="1" applyAlignment="1" applyProtection="1">
      <alignment horizontal="center"/>
    </xf>
    <xf numFmtId="0" fontId="41" fillId="15" borderId="17" xfId="0" applyFont="1" applyFill="1" applyBorder="1" applyAlignment="1">
      <alignment vertical="center"/>
    </xf>
    <xf numFmtId="167" fontId="28" fillId="16" borderId="6" xfId="9" applyNumberFormat="1" applyFont="1" applyFill="1" applyBorder="1" applyAlignment="1" applyProtection="1">
      <alignment horizontal="center" vertical="center"/>
    </xf>
    <xf numFmtId="167" fontId="28" fillId="16" borderId="5" xfId="9" applyNumberFormat="1" applyFont="1" applyFill="1" applyBorder="1" applyAlignment="1" applyProtection="1">
      <alignment horizontal="center" vertical="center"/>
    </xf>
    <xf numFmtId="0" fontId="28" fillId="9" borderId="23" xfId="0" applyFont="1" applyFill="1" applyBorder="1"/>
    <xf numFmtId="0" fontId="19" fillId="13" borderId="13" xfId="0" applyFont="1" applyFill="1" applyBorder="1" applyAlignment="1">
      <alignment vertical="center" wrapText="1"/>
    </xf>
    <xf numFmtId="167" fontId="28" fillId="9" borderId="38" xfId="9" applyNumberFormat="1" applyFont="1" applyFill="1" applyBorder="1" applyAlignment="1" applyProtection="1">
      <alignment vertical="center"/>
    </xf>
    <xf numFmtId="0" fontId="19" fillId="13" borderId="5" xfId="0" applyFont="1" applyFill="1" applyBorder="1" applyAlignment="1">
      <alignment vertical="center" wrapText="1"/>
    </xf>
    <xf numFmtId="167" fontId="28" fillId="9" borderId="50" xfId="9" applyNumberFormat="1" applyFont="1" applyFill="1" applyBorder="1" applyAlignment="1" applyProtection="1">
      <alignment vertical="center"/>
    </xf>
    <xf numFmtId="0" fontId="19" fillId="13" borderId="5" xfId="0" applyFont="1" applyFill="1" applyBorder="1" applyAlignment="1">
      <alignment vertical="center"/>
    </xf>
    <xf numFmtId="167" fontId="27" fillId="9" borderId="52" xfId="9" applyNumberFormat="1" applyFont="1" applyFill="1" applyBorder="1" applyAlignment="1" applyProtection="1">
      <alignment horizontal="center" vertical="center"/>
    </xf>
    <xf numFmtId="10" fontId="6" fillId="0" borderId="1" xfId="6" applyNumberFormat="1" applyFont="1" applyBorder="1" applyAlignment="1">
      <alignment horizontal="center"/>
    </xf>
    <xf numFmtId="0" fontId="6" fillId="8" borderId="1" xfId="2" applyFont="1" applyFill="1" applyBorder="1" applyAlignment="1">
      <alignment horizontal="center" vertical="center" wrapText="1"/>
    </xf>
    <xf numFmtId="0" fontId="6" fillId="8" borderId="2" xfId="2" applyFont="1" applyFill="1" applyBorder="1" applyAlignment="1">
      <alignment horizontal="center" vertical="center" wrapText="1"/>
    </xf>
    <xf numFmtId="0" fontId="6" fillId="8" borderId="21" xfId="2" applyFont="1" applyFill="1" applyBorder="1" applyAlignment="1">
      <alignment horizontal="center" vertical="center" wrapText="1"/>
    </xf>
  </cellXfs>
  <cellStyles count="11">
    <cellStyle name="Euro" xfId="4" xr:uid="{00000000-0005-0000-0000-000000000000}"/>
    <cellStyle name="Migliaia" xfId="9" builtinId="3"/>
    <cellStyle name="Migliaia 2" xfId="3" xr:uid="{00000000-0005-0000-0000-000002000000}"/>
    <cellStyle name="Normal" xfId="8" xr:uid="{00000000-0005-0000-0000-000003000000}"/>
    <cellStyle name="Normale" xfId="0" builtinId="0"/>
    <cellStyle name="Normale 2" xfId="2" xr:uid="{00000000-0005-0000-0000-000005000000}"/>
    <cellStyle name="Normale 2 2" xfId="7" xr:uid="{00000000-0005-0000-0000-000006000000}"/>
    <cellStyle name="Normale 4" xfId="5" xr:uid="{00000000-0005-0000-0000-000007000000}"/>
    <cellStyle name="Normale_Simulazioni Tariffa" xfId="10" xr:uid="{87059A73-FAAD-409E-B535-88FF3CE8C8B9}"/>
    <cellStyle name="Percentuale" xfId="1" builtinId="5"/>
    <cellStyle name="Percentuale 2" xfId="6" xr:uid="{00000000-0005-0000-0000-000009000000}"/>
  </cellStyles>
  <dxfs count="2">
    <dxf>
      <font>
        <b/>
        <i val="0"/>
        <color rgb="FFFF000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rgb="FFEDEDED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38"/>
  <sheetViews>
    <sheetView workbookViewId="0">
      <selection activeCell="I38" sqref="I38"/>
    </sheetView>
  </sheetViews>
  <sheetFormatPr defaultRowHeight="12.75"/>
  <cols>
    <col min="1" max="1" width="2.7109375" customWidth="1"/>
    <col min="2" max="2" width="100.28515625" bestFit="1" customWidth="1"/>
    <col min="4" max="4" width="22.5703125" customWidth="1"/>
  </cols>
  <sheetData>
    <row r="1" spans="2:4" ht="15" thickBot="1">
      <c r="B1" s="215" t="s">
        <v>187</v>
      </c>
      <c r="C1" s="216"/>
      <c r="D1" s="218"/>
    </row>
    <row r="2" spans="2:4" ht="19.5">
      <c r="B2" s="219" t="s">
        <v>188</v>
      </c>
      <c r="C2" s="216"/>
      <c r="D2" s="220">
        <v>0.81659999999999999</v>
      </c>
    </row>
    <row r="3" spans="2:4" ht="17.25">
      <c r="B3" s="221" t="s">
        <v>189</v>
      </c>
      <c r="C3" s="216"/>
      <c r="D3" s="222">
        <v>373.84699999999998</v>
      </c>
    </row>
    <row r="4" spans="2:4" ht="16.5">
      <c r="B4" s="223" t="s">
        <v>190</v>
      </c>
      <c r="C4" s="216"/>
      <c r="D4" s="224">
        <v>29.820919839296828</v>
      </c>
    </row>
    <row r="5" spans="2:4" ht="17.25" thickBot="1">
      <c r="B5" s="225" t="s">
        <v>191</v>
      </c>
      <c r="C5" s="226"/>
      <c r="D5" s="224">
        <v>49.3</v>
      </c>
    </row>
    <row r="6" spans="2:4" ht="16.5">
      <c r="B6" s="227"/>
      <c r="C6" s="228"/>
      <c r="D6" s="229"/>
    </row>
    <row r="7" spans="2:4" ht="17.25" thickBot="1">
      <c r="B7" s="215" t="s">
        <v>192</v>
      </c>
      <c r="C7" s="216"/>
      <c r="D7" s="230"/>
    </row>
    <row r="8" spans="2:4" ht="18.75">
      <c r="B8" s="219" t="s">
        <v>193</v>
      </c>
      <c r="C8" s="216"/>
      <c r="D8" s="231">
        <v>-0.2</v>
      </c>
    </row>
    <row r="9" spans="2:4" ht="18.75">
      <c r="B9" s="223" t="s">
        <v>194</v>
      </c>
      <c r="C9" s="216"/>
      <c r="D9" s="232">
        <v>-0.05</v>
      </c>
    </row>
    <row r="10" spans="2:4" ht="14.25">
      <c r="B10" s="233" t="s">
        <v>195</v>
      </c>
      <c r="C10" s="216"/>
      <c r="D10" s="234">
        <v>-0.25</v>
      </c>
    </row>
    <row r="11" spans="2:4" ht="15" thickBot="1">
      <c r="B11" s="235" t="s">
        <v>196</v>
      </c>
      <c r="C11" s="226"/>
      <c r="D11" s="236">
        <v>0.75</v>
      </c>
    </row>
    <row r="12" spans="2:4" ht="16.5">
      <c r="B12" s="237"/>
      <c r="C12" s="238"/>
      <c r="D12" s="239"/>
    </row>
    <row r="13" spans="2:4" ht="17.25" thickBot="1">
      <c r="B13" s="215" t="s">
        <v>197</v>
      </c>
      <c r="C13" s="217"/>
      <c r="D13" s="230"/>
    </row>
    <row r="14" spans="2:4" ht="17.25">
      <c r="B14" s="240" t="s">
        <v>198</v>
      </c>
      <c r="C14" s="241"/>
      <c r="D14" s="242">
        <v>1.9E-2</v>
      </c>
    </row>
    <row r="15" spans="2:4" ht="17.25">
      <c r="B15" s="223" t="s">
        <v>199</v>
      </c>
      <c r="C15" s="216"/>
      <c r="D15" s="243">
        <v>1E-3</v>
      </c>
    </row>
    <row r="16" spans="2:4" ht="18.75">
      <c r="B16" s="223" t="s">
        <v>200</v>
      </c>
      <c r="C16" s="216"/>
      <c r="D16" s="243">
        <v>0.03</v>
      </c>
    </row>
    <row r="17" spans="2:4" ht="18.75">
      <c r="B17" s="244" t="s">
        <v>201</v>
      </c>
      <c r="C17" s="216"/>
      <c r="D17" s="243">
        <v>0.02</v>
      </c>
    </row>
    <row r="18" spans="2:4" ht="15">
      <c r="B18" s="233" t="s">
        <v>202</v>
      </c>
      <c r="C18" s="216"/>
      <c r="D18" s="245">
        <v>6.8000000000000005E-2</v>
      </c>
    </row>
    <row r="19" spans="2:4" ht="14.25">
      <c r="B19" s="246" t="s">
        <v>203</v>
      </c>
      <c r="C19" s="216"/>
      <c r="D19" s="247">
        <v>1.0680000000000001</v>
      </c>
    </row>
    <row r="20" spans="2:4" ht="17.25">
      <c r="B20" s="248" t="s">
        <v>204</v>
      </c>
      <c r="C20" s="216"/>
      <c r="D20" s="249">
        <v>141619.02565311367</v>
      </c>
    </row>
    <row r="21" spans="2:4" ht="17.25">
      <c r="B21" s="250" t="s">
        <v>205</v>
      </c>
      <c r="C21" s="251"/>
      <c r="D21" s="252">
        <v>96271.689826319925</v>
      </c>
    </row>
    <row r="22" spans="2:4" ht="17.25">
      <c r="B22" s="250" t="s">
        <v>206</v>
      </c>
      <c r="C22" s="251"/>
      <c r="D22" s="252">
        <v>25915.447327691243</v>
      </c>
    </row>
    <row r="23" spans="2:4" ht="17.25">
      <c r="B23" s="248" t="s">
        <v>207</v>
      </c>
      <c r="C23" s="253"/>
      <c r="D23" s="254">
        <v>122187.13715401117</v>
      </c>
    </row>
    <row r="24" spans="2:4" ht="19.5" thickBot="1">
      <c r="B24" s="235" t="s">
        <v>208</v>
      </c>
      <c r="C24" s="216"/>
      <c r="D24" s="255">
        <v>1.1590338308246759</v>
      </c>
    </row>
    <row r="25" spans="2:4" ht="17.25" thickBot="1">
      <c r="B25" s="256"/>
      <c r="C25" s="251"/>
      <c r="D25" s="257"/>
    </row>
    <row r="26" spans="2:4" ht="18.75">
      <c r="B26" s="258" t="s">
        <v>209</v>
      </c>
      <c r="C26" s="259"/>
      <c r="D26" s="260">
        <v>130495.86248048393</v>
      </c>
    </row>
    <row r="27" spans="2:4" ht="19.5" thickBot="1">
      <c r="B27" s="261" t="s">
        <v>210</v>
      </c>
      <c r="C27" s="259"/>
      <c r="D27" s="262">
        <v>11123.163172629735</v>
      </c>
    </row>
    <row r="28" spans="2:4" ht="17.25" thickBot="1">
      <c r="B28" s="237"/>
      <c r="C28" s="251"/>
      <c r="D28" s="239"/>
    </row>
    <row r="29" spans="2:4" ht="17.25" thickBot="1">
      <c r="B29" s="263" t="s">
        <v>162</v>
      </c>
      <c r="C29" s="259"/>
      <c r="D29" s="264">
        <v>100281.933224639</v>
      </c>
    </row>
    <row r="30" spans="2:4" ht="17.25" thickBot="1">
      <c r="B30" s="263" t="s">
        <v>163</v>
      </c>
      <c r="C30" s="259"/>
      <c r="D30" s="265">
        <v>30213.929255844934</v>
      </c>
    </row>
    <row r="31" spans="2:4" ht="18.75" thickBot="1">
      <c r="B31" s="266" t="s">
        <v>164</v>
      </c>
      <c r="C31" s="259"/>
      <c r="D31" s="267">
        <v>130495.86248048392</v>
      </c>
    </row>
    <row r="32" spans="2:4" ht="17.25" thickBot="1">
      <c r="B32" s="237"/>
      <c r="C32" s="259"/>
      <c r="D32" s="268" t="s">
        <v>165</v>
      </c>
    </row>
    <row r="33" spans="2:4" ht="17.25" thickBot="1">
      <c r="B33" s="269" t="s">
        <v>211</v>
      </c>
      <c r="C33" s="259"/>
      <c r="D33" s="270">
        <v>0</v>
      </c>
    </row>
    <row r="34" spans="2:4" ht="17.25" thickBot="1">
      <c r="B34" s="269" t="s">
        <v>212</v>
      </c>
      <c r="C34" s="259"/>
      <c r="D34" s="271">
        <v>3441.5699999999997</v>
      </c>
    </row>
    <row r="35" spans="2:4" ht="17.25" thickBot="1">
      <c r="B35" s="272"/>
      <c r="C35" s="259"/>
      <c r="D35" s="259"/>
    </row>
    <row r="36" spans="2:4" ht="33.75" thickBot="1">
      <c r="B36" s="273" t="s">
        <v>213</v>
      </c>
      <c r="C36" s="259"/>
      <c r="D36" s="274">
        <v>100281.933224639</v>
      </c>
    </row>
    <row r="37" spans="2:4" ht="33.75" thickBot="1">
      <c r="B37" s="275" t="s">
        <v>214</v>
      </c>
      <c r="C37" s="259"/>
      <c r="D37" s="276">
        <v>26772.359255844935</v>
      </c>
    </row>
    <row r="38" spans="2:4" ht="17.25" thickBot="1">
      <c r="B38" s="277" t="s">
        <v>215</v>
      </c>
      <c r="C38" s="259"/>
      <c r="D38" s="278">
        <v>127054.29248048393</v>
      </c>
    </row>
  </sheetData>
  <conditionalFormatting sqref="D29:D31">
    <cfRule type="containsText" dxfId="0" priority="1" operator="containsText" text="ERRORE">
      <formula>NOT(ISERROR(SEARCH("ERRORE",D29)))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5"/>
  <sheetViews>
    <sheetView workbookViewId="0">
      <selection activeCell="D19" sqref="D19"/>
    </sheetView>
  </sheetViews>
  <sheetFormatPr defaultColWidth="9.140625" defaultRowHeight="15"/>
  <cols>
    <col min="1" max="1" width="31.5703125" style="6" customWidth="1"/>
    <col min="2" max="2" width="23.7109375" style="6" customWidth="1"/>
    <col min="3" max="3" width="25.28515625" style="6" customWidth="1"/>
    <col min="4" max="4" width="27.7109375" style="6" customWidth="1"/>
    <col min="5" max="5" width="13" style="6" customWidth="1"/>
    <col min="6" max="12" width="9.140625" style="6"/>
    <col min="13" max="13" width="11.28515625" style="6" bestFit="1" customWidth="1"/>
    <col min="14" max="16384" width="9.140625" style="6"/>
  </cols>
  <sheetData>
    <row r="2" spans="1:5" ht="21" customHeight="1">
      <c r="A2" s="142">
        <v>1</v>
      </c>
      <c r="B2" s="141" t="s">
        <v>153</v>
      </c>
      <c r="C2" s="141" t="s">
        <v>154</v>
      </c>
    </row>
    <row r="3" spans="1:5" ht="17.25" customHeight="1">
      <c r="A3" s="140" t="s">
        <v>151</v>
      </c>
      <c r="B3" s="279">
        <v>0.93600000000000005</v>
      </c>
      <c r="C3" s="279">
        <f>A2-B3</f>
        <v>6.3999999999999946E-2</v>
      </c>
    </row>
    <row r="4" spans="1:5" ht="17.25" customHeight="1">
      <c r="A4" s="140" t="s">
        <v>152</v>
      </c>
      <c r="B4" s="151">
        <v>0.89</v>
      </c>
      <c r="C4" s="151">
        <f>A2-B4</f>
        <v>0.10999999999999999</v>
      </c>
    </row>
    <row r="6" spans="1:5" ht="29.25" customHeight="1">
      <c r="A6" s="181"/>
      <c r="B6" s="182"/>
      <c r="C6" s="62" t="s">
        <v>46</v>
      </c>
      <c r="D6" s="62" t="s">
        <v>47</v>
      </c>
    </row>
    <row r="7" spans="1:5" ht="19.5" customHeight="1">
      <c r="A7" s="63" t="s">
        <v>20</v>
      </c>
      <c r="B7" s="143">
        <f>'PEF 2026'!D37+C19</f>
        <v>28372.359255844935</v>
      </c>
      <c r="C7" s="143">
        <f>(B7*B3)</f>
        <v>26556.52826347086</v>
      </c>
      <c r="D7" s="143">
        <f>(B7*C3)</f>
        <v>1815.8309923740742</v>
      </c>
    </row>
    <row r="8" spans="1:5" ht="21.75" customHeight="1">
      <c r="A8" s="63" t="s">
        <v>19</v>
      </c>
      <c r="B8" s="143">
        <f>'PEF 2026'!D36+B19</f>
        <v>105881.933224639</v>
      </c>
      <c r="C8" s="143">
        <f>(B8*B4)</f>
        <v>94234.920569928712</v>
      </c>
      <c r="D8" s="143">
        <f>(B8*C4)</f>
        <v>11647.012654710288</v>
      </c>
    </row>
    <row r="9" spans="1:5" ht="24" customHeight="1">
      <c r="A9" s="63" t="s">
        <v>21</v>
      </c>
      <c r="B9" s="143">
        <f>B7+B8</f>
        <v>134254.29248048394</v>
      </c>
      <c r="C9" s="143">
        <f>SUM(C7:C8)</f>
        <v>120791.44883339957</v>
      </c>
      <c r="D9" s="143">
        <f>SUM(D7:D8)</f>
        <v>13462.843647084363</v>
      </c>
      <c r="E9" s="66">
        <f>B9-(C9+D9)</f>
        <v>0</v>
      </c>
    </row>
    <row r="12" spans="1:5">
      <c r="B12" s="61">
        <v>1</v>
      </c>
      <c r="C12" s="61">
        <f>B4</f>
        <v>0.89</v>
      </c>
      <c r="D12" s="61">
        <f>C4</f>
        <v>0.10999999999999999</v>
      </c>
    </row>
    <row r="13" spans="1:5">
      <c r="A13" s="63" t="s">
        <v>30</v>
      </c>
      <c r="B13" s="65">
        <v>374000</v>
      </c>
      <c r="C13" s="9">
        <f>B13*C12</f>
        <v>332860</v>
      </c>
      <c r="D13" s="9">
        <f>B13*D12</f>
        <v>41139.999999999993</v>
      </c>
      <c r="E13" s="66">
        <f>B13-(C13+D13)</f>
        <v>0</v>
      </c>
    </row>
    <row r="17" spans="1:13">
      <c r="A17" s="183" t="s">
        <v>145</v>
      </c>
      <c r="B17" s="183"/>
      <c r="C17" s="183"/>
    </row>
    <row r="18" spans="1:13" ht="22.5" customHeight="1">
      <c r="A18" s="134" t="s">
        <v>52</v>
      </c>
      <c r="B18" s="135" t="s">
        <v>147</v>
      </c>
      <c r="C18" s="134" t="s">
        <v>146</v>
      </c>
    </row>
    <row r="19" spans="1:13" ht="31.5" customHeight="1">
      <c r="A19" s="104" t="s">
        <v>161</v>
      </c>
      <c r="B19" s="136">
        <v>5600</v>
      </c>
      <c r="C19" s="136">
        <v>1600</v>
      </c>
    </row>
    <row r="20" spans="1:13" ht="15.75" customHeight="1"/>
    <row r="21" spans="1:13">
      <c r="A21" s="148"/>
    </row>
    <row r="22" spans="1:13" ht="33.75" customHeight="1">
      <c r="A22" s="184" t="s">
        <v>160</v>
      </c>
      <c r="B22" s="185"/>
      <c r="C22" s="185"/>
    </row>
    <row r="23" spans="1:13">
      <c r="A23" s="139">
        <v>1</v>
      </c>
      <c r="B23" s="62" t="s">
        <v>46</v>
      </c>
      <c r="C23" s="62" t="s">
        <v>47</v>
      </c>
      <c r="M23" s="13"/>
    </row>
    <row r="24" spans="1:13" ht="30">
      <c r="A24" s="146" t="s">
        <v>159</v>
      </c>
      <c r="B24" s="147">
        <f>'Produzione rifiuti teorica'!L14/('Produzione rifiuti teorica'!L14+'Produzione rifiuti teorica'!D29)</f>
        <v>0.94233713216533421</v>
      </c>
      <c r="C24" s="147">
        <f>'Produzione rifiuti teorica'!D29/('Produzione rifiuti teorica'!L14+'Produzione rifiuti teorica'!D29)</f>
        <v>5.766286783466576E-2</v>
      </c>
    </row>
    <row r="25" spans="1:13" ht="30">
      <c r="A25" s="146" t="s">
        <v>158</v>
      </c>
      <c r="B25" s="147">
        <f>'Produzione rifiuti teorica'!H32</f>
        <v>0.87008772727272732</v>
      </c>
      <c r="C25" s="147">
        <f>'Produzione rifiuti teorica'!H30</f>
        <v>0.12991227272727274</v>
      </c>
    </row>
  </sheetData>
  <mergeCells count="3">
    <mergeCell ref="A6:B6"/>
    <mergeCell ref="A17:C17"/>
    <mergeCell ref="A22:C22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L37"/>
  <sheetViews>
    <sheetView zoomScale="70" zoomScaleNormal="70" workbookViewId="0">
      <selection activeCell="C27" sqref="C27"/>
    </sheetView>
  </sheetViews>
  <sheetFormatPr defaultRowHeight="15"/>
  <cols>
    <col min="1" max="1" width="11.7109375" style="34" bestFit="1" customWidth="1"/>
    <col min="2" max="2" width="45" style="34" customWidth="1"/>
    <col min="3" max="3" width="9.140625" style="39"/>
    <col min="4" max="4" width="14" style="34" customWidth="1"/>
    <col min="5" max="5" width="10" style="34" customWidth="1"/>
    <col min="6" max="6" width="21.140625" style="34" customWidth="1"/>
    <col min="7" max="7" width="3.5703125" style="34" customWidth="1"/>
    <col min="8" max="8" width="9.140625" style="34"/>
    <col min="9" max="9" width="5" style="34" customWidth="1"/>
    <col min="10" max="10" width="11.7109375" style="34" bestFit="1" customWidth="1"/>
    <col min="11" max="11" width="28.42578125" style="34" customWidth="1"/>
    <col min="12" max="12" width="20.7109375" style="34" bestFit="1" customWidth="1"/>
    <col min="13" max="255" width="9.140625" style="34"/>
    <col min="256" max="256" width="10.42578125" style="34" customWidth="1"/>
    <col min="257" max="257" width="45" style="34" customWidth="1"/>
    <col min="258" max="258" width="9.140625" style="34"/>
    <col min="259" max="259" width="14" style="34" customWidth="1"/>
    <col min="260" max="260" width="10" style="34" customWidth="1"/>
    <col min="261" max="261" width="18.140625" style="34" customWidth="1"/>
    <col min="262" max="511" width="9.140625" style="34"/>
    <col min="512" max="512" width="10.42578125" style="34" customWidth="1"/>
    <col min="513" max="513" width="45" style="34" customWidth="1"/>
    <col min="514" max="514" width="9.140625" style="34"/>
    <col min="515" max="515" width="14" style="34" customWidth="1"/>
    <col min="516" max="516" width="10" style="34" customWidth="1"/>
    <col min="517" max="517" width="18.140625" style="34" customWidth="1"/>
    <col min="518" max="767" width="9.140625" style="34"/>
    <col min="768" max="768" width="10.42578125" style="34" customWidth="1"/>
    <col min="769" max="769" width="45" style="34" customWidth="1"/>
    <col min="770" max="770" width="9.140625" style="34"/>
    <col min="771" max="771" width="14" style="34" customWidth="1"/>
    <col min="772" max="772" width="10" style="34" customWidth="1"/>
    <col min="773" max="773" width="18.140625" style="34" customWidth="1"/>
    <col min="774" max="1023" width="9.140625" style="34"/>
    <col min="1024" max="1024" width="10.42578125" style="34" customWidth="1"/>
    <col min="1025" max="1025" width="45" style="34" customWidth="1"/>
    <col min="1026" max="1026" width="9.140625" style="34"/>
    <col min="1027" max="1027" width="14" style="34" customWidth="1"/>
    <col min="1028" max="1028" width="10" style="34" customWidth="1"/>
    <col min="1029" max="1029" width="18.140625" style="34" customWidth="1"/>
    <col min="1030" max="1279" width="9.140625" style="34"/>
    <col min="1280" max="1280" width="10.42578125" style="34" customWidth="1"/>
    <col min="1281" max="1281" width="45" style="34" customWidth="1"/>
    <col min="1282" max="1282" width="9.140625" style="34"/>
    <col min="1283" max="1283" width="14" style="34" customWidth="1"/>
    <col min="1284" max="1284" width="10" style="34" customWidth="1"/>
    <col min="1285" max="1285" width="18.140625" style="34" customWidth="1"/>
    <col min="1286" max="1535" width="9.140625" style="34"/>
    <col min="1536" max="1536" width="10.42578125" style="34" customWidth="1"/>
    <col min="1537" max="1537" width="45" style="34" customWidth="1"/>
    <col min="1538" max="1538" width="9.140625" style="34"/>
    <col min="1539" max="1539" width="14" style="34" customWidth="1"/>
    <col min="1540" max="1540" width="10" style="34" customWidth="1"/>
    <col min="1541" max="1541" width="18.140625" style="34" customWidth="1"/>
    <col min="1542" max="1791" width="9.140625" style="34"/>
    <col min="1792" max="1792" width="10.42578125" style="34" customWidth="1"/>
    <col min="1793" max="1793" width="45" style="34" customWidth="1"/>
    <col min="1794" max="1794" width="9.140625" style="34"/>
    <col min="1795" max="1795" width="14" style="34" customWidth="1"/>
    <col min="1796" max="1796" width="10" style="34" customWidth="1"/>
    <col min="1797" max="1797" width="18.140625" style="34" customWidth="1"/>
    <col min="1798" max="2047" width="9.140625" style="34"/>
    <col min="2048" max="2048" width="10.42578125" style="34" customWidth="1"/>
    <col min="2049" max="2049" width="45" style="34" customWidth="1"/>
    <col min="2050" max="2050" width="9.140625" style="34"/>
    <col min="2051" max="2051" width="14" style="34" customWidth="1"/>
    <col min="2052" max="2052" width="10" style="34" customWidth="1"/>
    <col min="2053" max="2053" width="18.140625" style="34" customWidth="1"/>
    <col min="2054" max="2303" width="9.140625" style="34"/>
    <col min="2304" max="2304" width="10.42578125" style="34" customWidth="1"/>
    <col min="2305" max="2305" width="45" style="34" customWidth="1"/>
    <col min="2306" max="2306" width="9.140625" style="34"/>
    <col min="2307" max="2307" width="14" style="34" customWidth="1"/>
    <col min="2308" max="2308" width="10" style="34" customWidth="1"/>
    <col min="2309" max="2309" width="18.140625" style="34" customWidth="1"/>
    <col min="2310" max="2559" width="9.140625" style="34"/>
    <col min="2560" max="2560" width="10.42578125" style="34" customWidth="1"/>
    <col min="2561" max="2561" width="45" style="34" customWidth="1"/>
    <col min="2562" max="2562" width="9.140625" style="34"/>
    <col min="2563" max="2563" width="14" style="34" customWidth="1"/>
    <col min="2564" max="2564" width="10" style="34" customWidth="1"/>
    <col min="2565" max="2565" width="18.140625" style="34" customWidth="1"/>
    <col min="2566" max="2815" width="9.140625" style="34"/>
    <col min="2816" max="2816" width="10.42578125" style="34" customWidth="1"/>
    <col min="2817" max="2817" width="45" style="34" customWidth="1"/>
    <col min="2818" max="2818" width="9.140625" style="34"/>
    <col min="2819" max="2819" width="14" style="34" customWidth="1"/>
    <col min="2820" max="2820" width="10" style="34" customWidth="1"/>
    <col min="2821" max="2821" width="18.140625" style="34" customWidth="1"/>
    <col min="2822" max="3071" width="9.140625" style="34"/>
    <col min="3072" max="3072" width="10.42578125" style="34" customWidth="1"/>
    <col min="3073" max="3073" width="45" style="34" customWidth="1"/>
    <col min="3074" max="3074" width="9.140625" style="34"/>
    <col min="3075" max="3075" width="14" style="34" customWidth="1"/>
    <col min="3076" max="3076" width="10" style="34" customWidth="1"/>
    <col min="3077" max="3077" width="18.140625" style="34" customWidth="1"/>
    <col min="3078" max="3327" width="9.140625" style="34"/>
    <col min="3328" max="3328" width="10.42578125" style="34" customWidth="1"/>
    <col min="3329" max="3329" width="45" style="34" customWidth="1"/>
    <col min="3330" max="3330" width="9.140625" style="34"/>
    <col min="3331" max="3331" width="14" style="34" customWidth="1"/>
    <col min="3332" max="3332" width="10" style="34" customWidth="1"/>
    <col min="3333" max="3333" width="18.140625" style="34" customWidth="1"/>
    <col min="3334" max="3583" width="9.140625" style="34"/>
    <col min="3584" max="3584" width="10.42578125" style="34" customWidth="1"/>
    <col min="3585" max="3585" width="45" style="34" customWidth="1"/>
    <col min="3586" max="3586" width="9.140625" style="34"/>
    <col min="3587" max="3587" width="14" style="34" customWidth="1"/>
    <col min="3588" max="3588" width="10" style="34" customWidth="1"/>
    <col min="3589" max="3589" width="18.140625" style="34" customWidth="1"/>
    <col min="3590" max="3839" width="9.140625" style="34"/>
    <col min="3840" max="3840" width="10.42578125" style="34" customWidth="1"/>
    <col min="3841" max="3841" width="45" style="34" customWidth="1"/>
    <col min="3842" max="3842" width="9.140625" style="34"/>
    <col min="3843" max="3843" width="14" style="34" customWidth="1"/>
    <col min="3844" max="3844" width="10" style="34" customWidth="1"/>
    <col min="3845" max="3845" width="18.140625" style="34" customWidth="1"/>
    <col min="3846" max="4095" width="9.140625" style="34"/>
    <col min="4096" max="4096" width="10.42578125" style="34" customWidth="1"/>
    <col min="4097" max="4097" width="45" style="34" customWidth="1"/>
    <col min="4098" max="4098" width="9.140625" style="34"/>
    <col min="4099" max="4099" width="14" style="34" customWidth="1"/>
    <col min="4100" max="4100" width="10" style="34" customWidth="1"/>
    <col min="4101" max="4101" width="18.140625" style="34" customWidth="1"/>
    <col min="4102" max="4351" width="9.140625" style="34"/>
    <col min="4352" max="4352" width="10.42578125" style="34" customWidth="1"/>
    <col min="4353" max="4353" width="45" style="34" customWidth="1"/>
    <col min="4354" max="4354" width="9.140625" style="34"/>
    <col min="4355" max="4355" width="14" style="34" customWidth="1"/>
    <col min="4356" max="4356" width="10" style="34" customWidth="1"/>
    <col min="4357" max="4357" width="18.140625" style="34" customWidth="1"/>
    <col min="4358" max="4607" width="9.140625" style="34"/>
    <col min="4608" max="4608" width="10.42578125" style="34" customWidth="1"/>
    <col min="4609" max="4609" width="45" style="34" customWidth="1"/>
    <col min="4610" max="4610" width="9.140625" style="34"/>
    <col min="4611" max="4611" width="14" style="34" customWidth="1"/>
    <col min="4612" max="4612" width="10" style="34" customWidth="1"/>
    <col min="4613" max="4613" width="18.140625" style="34" customWidth="1"/>
    <col min="4614" max="4863" width="9.140625" style="34"/>
    <col min="4864" max="4864" width="10.42578125" style="34" customWidth="1"/>
    <col min="4865" max="4865" width="45" style="34" customWidth="1"/>
    <col min="4866" max="4866" width="9.140625" style="34"/>
    <col min="4867" max="4867" width="14" style="34" customWidth="1"/>
    <col min="4868" max="4868" width="10" style="34" customWidth="1"/>
    <col min="4869" max="4869" width="18.140625" style="34" customWidth="1"/>
    <col min="4870" max="5119" width="9.140625" style="34"/>
    <col min="5120" max="5120" width="10.42578125" style="34" customWidth="1"/>
    <col min="5121" max="5121" width="45" style="34" customWidth="1"/>
    <col min="5122" max="5122" width="9.140625" style="34"/>
    <col min="5123" max="5123" width="14" style="34" customWidth="1"/>
    <col min="5124" max="5124" width="10" style="34" customWidth="1"/>
    <col min="5125" max="5125" width="18.140625" style="34" customWidth="1"/>
    <col min="5126" max="5375" width="9.140625" style="34"/>
    <col min="5376" max="5376" width="10.42578125" style="34" customWidth="1"/>
    <col min="5377" max="5377" width="45" style="34" customWidth="1"/>
    <col min="5378" max="5378" width="9.140625" style="34"/>
    <col min="5379" max="5379" width="14" style="34" customWidth="1"/>
    <col min="5380" max="5380" width="10" style="34" customWidth="1"/>
    <col min="5381" max="5381" width="18.140625" style="34" customWidth="1"/>
    <col min="5382" max="5631" width="9.140625" style="34"/>
    <col min="5632" max="5632" width="10.42578125" style="34" customWidth="1"/>
    <col min="5633" max="5633" width="45" style="34" customWidth="1"/>
    <col min="5634" max="5634" width="9.140625" style="34"/>
    <col min="5635" max="5635" width="14" style="34" customWidth="1"/>
    <col min="5636" max="5636" width="10" style="34" customWidth="1"/>
    <col min="5637" max="5637" width="18.140625" style="34" customWidth="1"/>
    <col min="5638" max="5887" width="9.140625" style="34"/>
    <col min="5888" max="5888" width="10.42578125" style="34" customWidth="1"/>
    <col min="5889" max="5889" width="45" style="34" customWidth="1"/>
    <col min="5890" max="5890" width="9.140625" style="34"/>
    <col min="5891" max="5891" width="14" style="34" customWidth="1"/>
    <col min="5892" max="5892" width="10" style="34" customWidth="1"/>
    <col min="5893" max="5893" width="18.140625" style="34" customWidth="1"/>
    <col min="5894" max="6143" width="9.140625" style="34"/>
    <col min="6144" max="6144" width="10.42578125" style="34" customWidth="1"/>
    <col min="6145" max="6145" width="45" style="34" customWidth="1"/>
    <col min="6146" max="6146" width="9.140625" style="34"/>
    <col min="6147" max="6147" width="14" style="34" customWidth="1"/>
    <col min="6148" max="6148" width="10" style="34" customWidth="1"/>
    <col min="6149" max="6149" width="18.140625" style="34" customWidth="1"/>
    <col min="6150" max="6399" width="9.140625" style="34"/>
    <col min="6400" max="6400" width="10.42578125" style="34" customWidth="1"/>
    <col min="6401" max="6401" width="45" style="34" customWidth="1"/>
    <col min="6402" max="6402" width="9.140625" style="34"/>
    <col min="6403" max="6403" width="14" style="34" customWidth="1"/>
    <col min="6404" max="6404" width="10" style="34" customWidth="1"/>
    <col min="6405" max="6405" width="18.140625" style="34" customWidth="1"/>
    <col min="6406" max="6655" width="9.140625" style="34"/>
    <col min="6656" max="6656" width="10.42578125" style="34" customWidth="1"/>
    <col min="6657" max="6657" width="45" style="34" customWidth="1"/>
    <col min="6658" max="6658" width="9.140625" style="34"/>
    <col min="6659" max="6659" width="14" style="34" customWidth="1"/>
    <col min="6660" max="6660" width="10" style="34" customWidth="1"/>
    <col min="6661" max="6661" width="18.140625" style="34" customWidth="1"/>
    <col min="6662" max="6911" width="9.140625" style="34"/>
    <col min="6912" max="6912" width="10.42578125" style="34" customWidth="1"/>
    <col min="6913" max="6913" width="45" style="34" customWidth="1"/>
    <col min="6914" max="6914" width="9.140625" style="34"/>
    <col min="6915" max="6915" width="14" style="34" customWidth="1"/>
    <col min="6916" max="6916" width="10" style="34" customWidth="1"/>
    <col min="6917" max="6917" width="18.140625" style="34" customWidth="1"/>
    <col min="6918" max="7167" width="9.140625" style="34"/>
    <col min="7168" max="7168" width="10.42578125" style="34" customWidth="1"/>
    <col min="7169" max="7169" width="45" style="34" customWidth="1"/>
    <col min="7170" max="7170" width="9.140625" style="34"/>
    <col min="7171" max="7171" width="14" style="34" customWidth="1"/>
    <col min="7172" max="7172" width="10" style="34" customWidth="1"/>
    <col min="7173" max="7173" width="18.140625" style="34" customWidth="1"/>
    <col min="7174" max="7423" width="9.140625" style="34"/>
    <col min="7424" max="7424" width="10.42578125" style="34" customWidth="1"/>
    <col min="7425" max="7425" width="45" style="34" customWidth="1"/>
    <col min="7426" max="7426" width="9.140625" style="34"/>
    <col min="7427" max="7427" width="14" style="34" customWidth="1"/>
    <col min="7428" max="7428" width="10" style="34" customWidth="1"/>
    <col min="7429" max="7429" width="18.140625" style="34" customWidth="1"/>
    <col min="7430" max="7679" width="9.140625" style="34"/>
    <col min="7680" max="7680" width="10.42578125" style="34" customWidth="1"/>
    <col min="7681" max="7681" width="45" style="34" customWidth="1"/>
    <col min="7682" max="7682" width="9.140625" style="34"/>
    <col min="7683" max="7683" width="14" style="34" customWidth="1"/>
    <col min="7684" max="7684" width="10" style="34" customWidth="1"/>
    <col min="7685" max="7685" width="18.140625" style="34" customWidth="1"/>
    <col min="7686" max="7935" width="9.140625" style="34"/>
    <col min="7936" max="7936" width="10.42578125" style="34" customWidth="1"/>
    <col min="7937" max="7937" width="45" style="34" customWidth="1"/>
    <col min="7938" max="7938" width="9.140625" style="34"/>
    <col min="7939" max="7939" width="14" style="34" customWidth="1"/>
    <col min="7940" max="7940" width="10" style="34" customWidth="1"/>
    <col min="7941" max="7941" width="18.140625" style="34" customWidth="1"/>
    <col min="7942" max="8191" width="9.140625" style="34"/>
    <col min="8192" max="8192" width="10.42578125" style="34" customWidth="1"/>
    <col min="8193" max="8193" width="45" style="34" customWidth="1"/>
    <col min="8194" max="8194" width="9.140625" style="34"/>
    <col min="8195" max="8195" width="14" style="34" customWidth="1"/>
    <col min="8196" max="8196" width="10" style="34" customWidth="1"/>
    <col min="8197" max="8197" width="18.140625" style="34" customWidth="1"/>
    <col min="8198" max="8447" width="9.140625" style="34"/>
    <col min="8448" max="8448" width="10.42578125" style="34" customWidth="1"/>
    <col min="8449" max="8449" width="45" style="34" customWidth="1"/>
    <col min="8450" max="8450" width="9.140625" style="34"/>
    <col min="8451" max="8451" width="14" style="34" customWidth="1"/>
    <col min="8452" max="8452" width="10" style="34" customWidth="1"/>
    <col min="8453" max="8453" width="18.140625" style="34" customWidth="1"/>
    <col min="8454" max="8703" width="9.140625" style="34"/>
    <col min="8704" max="8704" width="10.42578125" style="34" customWidth="1"/>
    <col min="8705" max="8705" width="45" style="34" customWidth="1"/>
    <col min="8706" max="8706" width="9.140625" style="34"/>
    <col min="8707" max="8707" width="14" style="34" customWidth="1"/>
    <col min="8708" max="8708" width="10" style="34" customWidth="1"/>
    <col min="8709" max="8709" width="18.140625" style="34" customWidth="1"/>
    <col min="8710" max="8959" width="9.140625" style="34"/>
    <col min="8960" max="8960" width="10.42578125" style="34" customWidth="1"/>
    <col min="8961" max="8961" width="45" style="34" customWidth="1"/>
    <col min="8962" max="8962" width="9.140625" style="34"/>
    <col min="8963" max="8963" width="14" style="34" customWidth="1"/>
    <col min="8964" max="8964" width="10" style="34" customWidth="1"/>
    <col min="8965" max="8965" width="18.140625" style="34" customWidth="1"/>
    <col min="8966" max="9215" width="9.140625" style="34"/>
    <col min="9216" max="9216" width="10.42578125" style="34" customWidth="1"/>
    <col min="9217" max="9217" width="45" style="34" customWidth="1"/>
    <col min="9218" max="9218" width="9.140625" style="34"/>
    <col min="9219" max="9219" width="14" style="34" customWidth="1"/>
    <col min="9220" max="9220" width="10" style="34" customWidth="1"/>
    <col min="9221" max="9221" width="18.140625" style="34" customWidth="1"/>
    <col min="9222" max="9471" width="9.140625" style="34"/>
    <col min="9472" max="9472" width="10.42578125" style="34" customWidth="1"/>
    <col min="9473" max="9473" width="45" style="34" customWidth="1"/>
    <col min="9474" max="9474" width="9.140625" style="34"/>
    <col min="9475" max="9475" width="14" style="34" customWidth="1"/>
    <col min="9476" max="9476" width="10" style="34" customWidth="1"/>
    <col min="9477" max="9477" width="18.140625" style="34" customWidth="1"/>
    <col min="9478" max="9727" width="9.140625" style="34"/>
    <col min="9728" max="9728" width="10.42578125" style="34" customWidth="1"/>
    <col min="9729" max="9729" width="45" style="34" customWidth="1"/>
    <col min="9730" max="9730" width="9.140625" style="34"/>
    <col min="9731" max="9731" width="14" style="34" customWidth="1"/>
    <col min="9732" max="9732" width="10" style="34" customWidth="1"/>
    <col min="9733" max="9733" width="18.140625" style="34" customWidth="1"/>
    <col min="9734" max="9983" width="9.140625" style="34"/>
    <col min="9984" max="9984" width="10.42578125" style="34" customWidth="1"/>
    <col min="9985" max="9985" width="45" style="34" customWidth="1"/>
    <col min="9986" max="9986" width="9.140625" style="34"/>
    <col min="9987" max="9987" width="14" style="34" customWidth="1"/>
    <col min="9988" max="9988" width="10" style="34" customWidth="1"/>
    <col min="9989" max="9989" width="18.140625" style="34" customWidth="1"/>
    <col min="9990" max="10239" width="9.140625" style="34"/>
    <col min="10240" max="10240" width="10.42578125" style="34" customWidth="1"/>
    <col min="10241" max="10241" width="45" style="34" customWidth="1"/>
    <col min="10242" max="10242" width="9.140625" style="34"/>
    <col min="10243" max="10243" width="14" style="34" customWidth="1"/>
    <col min="10244" max="10244" width="10" style="34" customWidth="1"/>
    <col min="10245" max="10245" width="18.140625" style="34" customWidth="1"/>
    <col min="10246" max="10495" width="9.140625" style="34"/>
    <col min="10496" max="10496" width="10.42578125" style="34" customWidth="1"/>
    <col min="10497" max="10497" width="45" style="34" customWidth="1"/>
    <col min="10498" max="10498" width="9.140625" style="34"/>
    <col min="10499" max="10499" width="14" style="34" customWidth="1"/>
    <col min="10500" max="10500" width="10" style="34" customWidth="1"/>
    <col min="10501" max="10501" width="18.140625" style="34" customWidth="1"/>
    <col min="10502" max="10751" width="9.140625" style="34"/>
    <col min="10752" max="10752" width="10.42578125" style="34" customWidth="1"/>
    <col min="10753" max="10753" width="45" style="34" customWidth="1"/>
    <col min="10754" max="10754" width="9.140625" style="34"/>
    <col min="10755" max="10755" width="14" style="34" customWidth="1"/>
    <col min="10756" max="10756" width="10" style="34" customWidth="1"/>
    <col min="10757" max="10757" width="18.140625" style="34" customWidth="1"/>
    <col min="10758" max="11007" width="9.140625" style="34"/>
    <col min="11008" max="11008" width="10.42578125" style="34" customWidth="1"/>
    <col min="11009" max="11009" width="45" style="34" customWidth="1"/>
    <col min="11010" max="11010" width="9.140625" style="34"/>
    <col min="11011" max="11011" width="14" style="34" customWidth="1"/>
    <col min="11012" max="11012" width="10" style="34" customWidth="1"/>
    <col min="11013" max="11013" width="18.140625" style="34" customWidth="1"/>
    <col min="11014" max="11263" width="9.140625" style="34"/>
    <col min="11264" max="11264" width="10.42578125" style="34" customWidth="1"/>
    <col min="11265" max="11265" width="45" style="34" customWidth="1"/>
    <col min="11266" max="11266" width="9.140625" style="34"/>
    <col min="11267" max="11267" width="14" style="34" customWidth="1"/>
    <col min="11268" max="11268" width="10" style="34" customWidth="1"/>
    <col min="11269" max="11269" width="18.140625" style="34" customWidth="1"/>
    <col min="11270" max="11519" width="9.140625" style="34"/>
    <col min="11520" max="11520" width="10.42578125" style="34" customWidth="1"/>
    <col min="11521" max="11521" width="45" style="34" customWidth="1"/>
    <col min="11522" max="11522" width="9.140625" style="34"/>
    <col min="11523" max="11523" width="14" style="34" customWidth="1"/>
    <col min="11524" max="11524" width="10" style="34" customWidth="1"/>
    <col min="11525" max="11525" width="18.140625" style="34" customWidth="1"/>
    <col min="11526" max="11775" width="9.140625" style="34"/>
    <col min="11776" max="11776" width="10.42578125" style="34" customWidth="1"/>
    <col min="11777" max="11777" width="45" style="34" customWidth="1"/>
    <col min="11778" max="11778" width="9.140625" style="34"/>
    <col min="11779" max="11779" width="14" style="34" customWidth="1"/>
    <col min="11780" max="11780" width="10" style="34" customWidth="1"/>
    <col min="11781" max="11781" width="18.140625" style="34" customWidth="1"/>
    <col min="11782" max="12031" width="9.140625" style="34"/>
    <col min="12032" max="12032" width="10.42578125" style="34" customWidth="1"/>
    <col min="12033" max="12033" width="45" style="34" customWidth="1"/>
    <col min="12034" max="12034" width="9.140625" style="34"/>
    <col min="12035" max="12035" width="14" style="34" customWidth="1"/>
    <col min="12036" max="12036" width="10" style="34" customWidth="1"/>
    <col min="12037" max="12037" width="18.140625" style="34" customWidth="1"/>
    <col min="12038" max="12287" width="9.140625" style="34"/>
    <col min="12288" max="12288" width="10.42578125" style="34" customWidth="1"/>
    <col min="12289" max="12289" width="45" style="34" customWidth="1"/>
    <col min="12290" max="12290" width="9.140625" style="34"/>
    <col min="12291" max="12291" width="14" style="34" customWidth="1"/>
    <col min="12292" max="12292" width="10" style="34" customWidth="1"/>
    <col min="12293" max="12293" width="18.140625" style="34" customWidth="1"/>
    <col min="12294" max="12543" width="9.140625" style="34"/>
    <col min="12544" max="12544" width="10.42578125" style="34" customWidth="1"/>
    <col min="12545" max="12545" width="45" style="34" customWidth="1"/>
    <col min="12546" max="12546" width="9.140625" style="34"/>
    <col min="12547" max="12547" width="14" style="34" customWidth="1"/>
    <col min="12548" max="12548" width="10" style="34" customWidth="1"/>
    <col min="12549" max="12549" width="18.140625" style="34" customWidth="1"/>
    <col min="12550" max="12799" width="9.140625" style="34"/>
    <col min="12800" max="12800" width="10.42578125" style="34" customWidth="1"/>
    <col min="12801" max="12801" width="45" style="34" customWidth="1"/>
    <col min="12802" max="12802" width="9.140625" style="34"/>
    <col min="12803" max="12803" width="14" style="34" customWidth="1"/>
    <col min="12804" max="12804" width="10" style="34" customWidth="1"/>
    <col min="12805" max="12805" width="18.140625" style="34" customWidth="1"/>
    <col min="12806" max="13055" width="9.140625" style="34"/>
    <col min="13056" max="13056" width="10.42578125" style="34" customWidth="1"/>
    <col min="13057" max="13057" width="45" style="34" customWidth="1"/>
    <col min="13058" max="13058" width="9.140625" style="34"/>
    <col min="13059" max="13059" width="14" style="34" customWidth="1"/>
    <col min="13060" max="13060" width="10" style="34" customWidth="1"/>
    <col min="13061" max="13061" width="18.140625" style="34" customWidth="1"/>
    <col min="13062" max="13311" width="9.140625" style="34"/>
    <col min="13312" max="13312" width="10.42578125" style="34" customWidth="1"/>
    <col min="13313" max="13313" width="45" style="34" customWidth="1"/>
    <col min="13314" max="13314" width="9.140625" style="34"/>
    <col min="13315" max="13315" width="14" style="34" customWidth="1"/>
    <col min="13316" max="13316" width="10" style="34" customWidth="1"/>
    <col min="13317" max="13317" width="18.140625" style="34" customWidth="1"/>
    <col min="13318" max="13567" width="9.140625" style="34"/>
    <col min="13568" max="13568" width="10.42578125" style="34" customWidth="1"/>
    <col min="13569" max="13569" width="45" style="34" customWidth="1"/>
    <col min="13570" max="13570" width="9.140625" style="34"/>
    <col min="13571" max="13571" width="14" style="34" customWidth="1"/>
    <col min="13572" max="13572" width="10" style="34" customWidth="1"/>
    <col min="13573" max="13573" width="18.140625" style="34" customWidth="1"/>
    <col min="13574" max="13823" width="9.140625" style="34"/>
    <col min="13824" max="13824" width="10.42578125" style="34" customWidth="1"/>
    <col min="13825" max="13825" width="45" style="34" customWidth="1"/>
    <col min="13826" max="13826" width="9.140625" style="34"/>
    <col min="13827" max="13827" width="14" style="34" customWidth="1"/>
    <col min="13828" max="13828" width="10" style="34" customWidth="1"/>
    <col min="13829" max="13829" width="18.140625" style="34" customWidth="1"/>
    <col min="13830" max="14079" width="9.140625" style="34"/>
    <col min="14080" max="14080" width="10.42578125" style="34" customWidth="1"/>
    <col min="14081" max="14081" width="45" style="34" customWidth="1"/>
    <col min="14082" max="14082" width="9.140625" style="34"/>
    <col min="14083" max="14083" width="14" style="34" customWidth="1"/>
    <col min="14084" max="14084" width="10" style="34" customWidth="1"/>
    <col min="14085" max="14085" width="18.140625" style="34" customWidth="1"/>
    <col min="14086" max="14335" width="9.140625" style="34"/>
    <col min="14336" max="14336" width="10.42578125" style="34" customWidth="1"/>
    <col min="14337" max="14337" width="45" style="34" customWidth="1"/>
    <col min="14338" max="14338" width="9.140625" style="34"/>
    <col min="14339" max="14339" width="14" style="34" customWidth="1"/>
    <col min="14340" max="14340" width="10" style="34" customWidth="1"/>
    <col min="14341" max="14341" width="18.140625" style="34" customWidth="1"/>
    <col min="14342" max="14591" width="9.140625" style="34"/>
    <col min="14592" max="14592" width="10.42578125" style="34" customWidth="1"/>
    <col min="14593" max="14593" width="45" style="34" customWidth="1"/>
    <col min="14594" max="14594" width="9.140625" style="34"/>
    <col min="14595" max="14595" width="14" style="34" customWidth="1"/>
    <col min="14596" max="14596" width="10" style="34" customWidth="1"/>
    <col min="14597" max="14597" width="18.140625" style="34" customWidth="1"/>
    <col min="14598" max="14847" width="9.140625" style="34"/>
    <col min="14848" max="14848" width="10.42578125" style="34" customWidth="1"/>
    <col min="14849" max="14849" width="45" style="34" customWidth="1"/>
    <col min="14850" max="14850" width="9.140625" style="34"/>
    <col min="14851" max="14851" width="14" style="34" customWidth="1"/>
    <col min="14852" max="14852" width="10" style="34" customWidth="1"/>
    <col min="14853" max="14853" width="18.140625" style="34" customWidth="1"/>
    <col min="14854" max="15103" width="9.140625" style="34"/>
    <col min="15104" max="15104" width="10.42578125" style="34" customWidth="1"/>
    <col min="15105" max="15105" width="45" style="34" customWidth="1"/>
    <col min="15106" max="15106" width="9.140625" style="34"/>
    <col min="15107" max="15107" width="14" style="34" customWidth="1"/>
    <col min="15108" max="15108" width="10" style="34" customWidth="1"/>
    <col min="15109" max="15109" width="18.140625" style="34" customWidth="1"/>
    <col min="15110" max="15359" width="9.140625" style="34"/>
    <col min="15360" max="15360" width="10.42578125" style="34" customWidth="1"/>
    <col min="15361" max="15361" width="45" style="34" customWidth="1"/>
    <col min="15362" max="15362" width="9.140625" style="34"/>
    <col min="15363" max="15363" width="14" style="34" customWidth="1"/>
    <col min="15364" max="15364" width="10" style="34" customWidth="1"/>
    <col min="15365" max="15365" width="18.140625" style="34" customWidth="1"/>
    <col min="15366" max="15615" width="9.140625" style="34"/>
    <col min="15616" max="15616" width="10.42578125" style="34" customWidth="1"/>
    <col min="15617" max="15617" width="45" style="34" customWidth="1"/>
    <col min="15618" max="15618" width="9.140625" style="34"/>
    <col min="15619" max="15619" width="14" style="34" customWidth="1"/>
    <col min="15620" max="15620" width="10" style="34" customWidth="1"/>
    <col min="15621" max="15621" width="18.140625" style="34" customWidth="1"/>
    <col min="15622" max="15871" width="9.140625" style="34"/>
    <col min="15872" max="15872" width="10.42578125" style="34" customWidth="1"/>
    <col min="15873" max="15873" width="45" style="34" customWidth="1"/>
    <col min="15874" max="15874" width="9.140625" style="34"/>
    <col min="15875" max="15875" width="14" style="34" customWidth="1"/>
    <col min="15876" max="15876" width="10" style="34" customWidth="1"/>
    <col min="15877" max="15877" width="18.140625" style="34" customWidth="1"/>
    <col min="15878" max="16127" width="9.140625" style="34"/>
    <col min="16128" max="16128" width="10.42578125" style="34" customWidth="1"/>
    <col min="16129" max="16129" width="45" style="34" customWidth="1"/>
    <col min="16130" max="16130" width="9.140625" style="34"/>
    <col min="16131" max="16131" width="14" style="34" customWidth="1"/>
    <col min="16132" max="16132" width="10" style="34" customWidth="1"/>
    <col min="16133" max="16133" width="18.140625" style="34" customWidth="1"/>
    <col min="16134" max="16384" width="9.140625" style="34"/>
  </cols>
  <sheetData>
    <row r="2" spans="1:12" ht="21" customHeight="1">
      <c r="A2" s="188" t="s">
        <v>119</v>
      </c>
      <c r="B2" s="188"/>
      <c r="C2" s="188"/>
      <c r="D2" s="188"/>
      <c r="E2" s="188"/>
      <c r="F2" s="188"/>
    </row>
    <row r="3" spans="1:12" ht="13.5" customHeight="1">
      <c r="A3" s="188" t="s">
        <v>48</v>
      </c>
      <c r="B3" s="188"/>
      <c r="C3" s="188"/>
      <c r="D3" s="188"/>
      <c r="E3" s="188"/>
      <c r="F3" s="188"/>
    </row>
    <row r="4" spans="1:12" ht="11.25" customHeight="1">
      <c r="A4" s="35"/>
      <c r="B4" s="35"/>
      <c r="C4" s="35"/>
      <c r="D4" s="35"/>
      <c r="E4" s="35"/>
      <c r="F4" s="35"/>
    </row>
    <row r="5" spans="1:12" ht="14.25" customHeight="1">
      <c r="B5" s="188" t="s">
        <v>49</v>
      </c>
      <c r="C5" s="188"/>
      <c r="D5" s="189"/>
      <c r="E5" s="36" t="s">
        <v>50</v>
      </c>
      <c r="F5" s="37">
        <f>'Dati iniziali'!B13</f>
        <v>374000</v>
      </c>
    </row>
    <row r="6" spans="1:12" ht="17.25" customHeight="1">
      <c r="J6" s="187" t="s">
        <v>120</v>
      </c>
      <c r="K6" s="187"/>
      <c r="L6" s="187"/>
    </row>
    <row r="7" spans="1:12" ht="30.75" customHeight="1">
      <c r="A7" s="40" t="s">
        <v>51</v>
      </c>
      <c r="B7" s="41" t="s">
        <v>52</v>
      </c>
      <c r="C7" s="40" t="s">
        <v>79</v>
      </c>
      <c r="D7" s="42" t="s">
        <v>53</v>
      </c>
      <c r="E7" s="43" t="s">
        <v>54</v>
      </c>
      <c r="F7" s="44" t="s">
        <v>55</v>
      </c>
      <c r="G7" s="45"/>
      <c r="J7" s="40" t="s">
        <v>51</v>
      </c>
      <c r="K7" s="40" t="s">
        <v>122</v>
      </c>
      <c r="L7" s="121" t="s">
        <v>121</v>
      </c>
    </row>
    <row r="8" spans="1:12" s="51" customFormat="1" ht="30" customHeight="1">
      <c r="A8" s="46">
        <v>1</v>
      </c>
      <c r="B8" s="47" t="s">
        <v>56</v>
      </c>
      <c r="C8" s="48">
        <v>3</v>
      </c>
      <c r="D8" s="49">
        <v>188</v>
      </c>
      <c r="E8" s="49">
        <f>'UND TV'!$E3</f>
        <v>6.83</v>
      </c>
      <c r="F8" s="49">
        <f>E8*D8</f>
        <v>1284.04</v>
      </c>
      <c r="G8" s="50"/>
      <c r="J8" s="46">
        <v>1</v>
      </c>
      <c r="K8" s="127" t="s">
        <v>216</v>
      </c>
      <c r="L8" s="49">
        <v>18086</v>
      </c>
    </row>
    <row r="9" spans="1:12" ht="30" customHeight="1">
      <c r="A9" s="52">
        <v>2</v>
      </c>
      <c r="B9" s="47" t="s">
        <v>57</v>
      </c>
      <c r="C9" s="48"/>
      <c r="D9" s="49"/>
      <c r="E9" s="49">
        <f>'UND TV'!$E4</f>
        <v>7</v>
      </c>
      <c r="F9" s="53">
        <f t="shared" ref="F9:F28" si="0">E9*D9</f>
        <v>0</v>
      </c>
      <c r="G9" s="54"/>
      <c r="J9" s="52">
        <v>2</v>
      </c>
      <c r="K9" s="127" t="s">
        <v>217</v>
      </c>
      <c r="L9" s="49">
        <v>15965</v>
      </c>
    </row>
    <row r="10" spans="1:12" ht="30" customHeight="1">
      <c r="A10" s="52">
        <v>3</v>
      </c>
      <c r="B10" s="47" t="s">
        <v>58</v>
      </c>
      <c r="C10" s="48"/>
      <c r="D10" s="49"/>
      <c r="E10" s="49">
        <f>'UND TV'!$E5</f>
        <v>7</v>
      </c>
      <c r="F10" s="53">
        <f t="shared" si="0"/>
        <v>0</v>
      </c>
      <c r="G10" s="54"/>
      <c r="J10" s="52">
        <v>3</v>
      </c>
      <c r="K10" s="127" t="s">
        <v>218</v>
      </c>
      <c r="L10" s="49">
        <v>11468</v>
      </c>
    </row>
    <row r="11" spans="1:12" ht="30" customHeight="1">
      <c r="A11" s="52">
        <v>4</v>
      </c>
      <c r="B11" s="47" t="s">
        <v>59</v>
      </c>
      <c r="C11" s="48"/>
      <c r="D11" s="49"/>
      <c r="E11" s="49">
        <f>'UND TV'!$E6</f>
        <v>5</v>
      </c>
      <c r="F11" s="53">
        <f t="shared" si="0"/>
        <v>0</v>
      </c>
      <c r="G11" s="54"/>
      <c r="J11" s="52">
        <v>4</v>
      </c>
      <c r="K11" s="127" t="s">
        <v>219</v>
      </c>
      <c r="L11" s="49">
        <v>7186</v>
      </c>
    </row>
    <row r="12" spans="1:12" ht="30" customHeight="1">
      <c r="A12" s="52">
        <v>5</v>
      </c>
      <c r="B12" s="47" t="s">
        <v>60</v>
      </c>
      <c r="C12" s="48"/>
      <c r="D12" s="49"/>
      <c r="E12" s="49">
        <f>'UND TV'!$E7</f>
        <v>14</v>
      </c>
      <c r="F12" s="53">
        <f t="shared" si="0"/>
        <v>0</v>
      </c>
      <c r="G12" s="54"/>
      <c r="J12" s="52">
        <v>5</v>
      </c>
      <c r="K12" s="127" t="s">
        <v>220</v>
      </c>
      <c r="L12" s="49">
        <v>1558</v>
      </c>
    </row>
    <row r="13" spans="1:12" ht="30" customHeight="1">
      <c r="A13" s="52">
        <v>6</v>
      </c>
      <c r="B13" s="47" t="s">
        <v>61</v>
      </c>
      <c r="C13" s="48"/>
      <c r="D13" s="49"/>
      <c r="E13" s="49">
        <f>'UND TV'!$E8</f>
        <v>9</v>
      </c>
      <c r="F13" s="53">
        <f t="shared" si="0"/>
        <v>0</v>
      </c>
      <c r="G13" s="54"/>
      <c r="J13" s="52" t="s">
        <v>24</v>
      </c>
      <c r="K13" s="155">
        <v>9</v>
      </c>
      <c r="L13" s="49">
        <v>1137</v>
      </c>
    </row>
    <row r="14" spans="1:12" ht="30" customHeight="1">
      <c r="A14" s="52">
        <v>7</v>
      </c>
      <c r="B14" s="47" t="s">
        <v>62</v>
      </c>
      <c r="C14" s="48"/>
      <c r="D14" s="49"/>
      <c r="E14" s="49">
        <f>'UND TV'!$E9</f>
        <v>11</v>
      </c>
      <c r="F14" s="53">
        <f t="shared" si="0"/>
        <v>0</v>
      </c>
      <c r="G14" s="54"/>
      <c r="K14" s="131">
        <f>K8+K9+K10+K11+K12+K13</f>
        <v>522</v>
      </c>
      <c r="L14" s="137">
        <f>SUM(L8:L13)</f>
        <v>55400</v>
      </c>
    </row>
    <row r="15" spans="1:12" ht="30" customHeight="1">
      <c r="A15" s="52">
        <v>8</v>
      </c>
      <c r="B15" s="47" t="s">
        <v>143</v>
      </c>
      <c r="C15" s="48">
        <v>5</v>
      </c>
      <c r="D15" s="49">
        <v>312</v>
      </c>
      <c r="E15" s="49">
        <f>'UND TV'!$E10</f>
        <v>10.5</v>
      </c>
      <c r="F15" s="53">
        <f t="shared" si="0"/>
        <v>3276</v>
      </c>
      <c r="G15" s="54"/>
    </row>
    <row r="16" spans="1:12" ht="30" customHeight="1">
      <c r="A16" s="52">
        <v>9</v>
      </c>
      <c r="B16" s="47" t="s">
        <v>142</v>
      </c>
      <c r="C16" s="48"/>
      <c r="D16" s="49"/>
      <c r="E16" s="49">
        <f>'UND TV'!$E11</f>
        <v>9</v>
      </c>
      <c r="F16" s="53">
        <f t="shared" si="0"/>
        <v>0</v>
      </c>
      <c r="G16" s="54"/>
      <c r="L16" s="137">
        <f>L14+D29</f>
        <v>58790</v>
      </c>
    </row>
    <row r="17" spans="1:12" ht="30" customHeight="1">
      <c r="A17" s="52">
        <v>10</v>
      </c>
      <c r="B17" s="47" t="s">
        <v>65</v>
      </c>
      <c r="C17" s="48">
        <v>1</v>
      </c>
      <c r="D17" s="49">
        <v>176</v>
      </c>
      <c r="E17" s="49">
        <f>'UND TV'!$E12</f>
        <v>12.5</v>
      </c>
      <c r="F17" s="53">
        <f t="shared" si="0"/>
        <v>2200</v>
      </c>
      <c r="G17" s="54"/>
      <c r="L17" s="138">
        <f>L14/L16</f>
        <v>0.94233713216533421</v>
      </c>
    </row>
    <row r="18" spans="1:12" ht="30" customHeight="1">
      <c r="A18" s="52">
        <v>11</v>
      </c>
      <c r="B18" s="47" t="s">
        <v>66</v>
      </c>
      <c r="C18" s="48">
        <v>2</v>
      </c>
      <c r="D18" s="49">
        <v>141</v>
      </c>
      <c r="E18" s="49">
        <f>'UND TV'!$E13</f>
        <v>15</v>
      </c>
      <c r="F18" s="53">
        <f t="shared" si="0"/>
        <v>2115</v>
      </c>
      <c r="G18" s="54"/>
      <c r="L18" s="138">
        <f>D29/L16</f>
        <v>5.766286783466576E-2</v>
      </c>
    </row>
    <row r="19" spans="1:12" ht="30" customHeight="1">
      <c r="A19" s="52">
        <v>12</v>
      </c>
      <c r="B19" s="47" t="s">
        <v>67</v>
      </c>
      <c r="C19" s="48">
        <v>5</v>
      </c>
      <c r="D19" s="49">
        <v>380</v>
      </c>
      <c r="E19" s="49">
        <f>'UND TV'!$E14</f>
        <v>12.2</v>
      </c>
      <c r="F19" s="53">
        <f t="shared" si="0"/>
        <v>4636</v>
      </c>
      <c r="G19" s="54"/>
    </row>
    <row r="20" spans="1:12" ht="30" customHeight="1">
      <c r="A20" s="52">
        <v>13</v>
      </c>
      <c r="B20" s="47" t="s">
        <v>68</v>
      </c>
      <c r="C20" s="48">
        <v>2</v>
      </c>
      <c r="D20" s="49">
        <v>605</v>
      </c>
      <c r="E20" s="49">
        <f>'UND TV'!$E15</f>
        <v>12.75</v>
      </c>
      <c r="F20" s="53">
        <f t="shared" si="0"/>
        <v>7713.75</v>
      </c>
      <c r="G20" s="54"/>
    </row>
    <row r="21" spans="1:12" ht="30" customHeight="1">
      <c r="A21" s="52">
        <v>14</v>
      </c>
      <c r="B21" s="47" t="s">
        <v>69</v>
      </c>
      <c r="C21" s="48"/>
      <c r="D21" s="49"/>
      <c r="E21" s="49">
        <f>'UND TV'!$E16</f>
        <v>7.53</v>
      </c>
      <c r="F21" s="53">
        <f t="shared" si="0"/>
        <v>0</v>
      </c>
      <c r="G21" s="54"/>
    </row>
    <row r="22" spans="1:12" ht="30" customHeight="1">
      <c r="A22" s="52">
        <v>15</v>
      </c>
      <c r="B22" s="47" t="s">
        <v>70</v>
      </c>
      <c r="C22" s="48">
        <v>3</v>
      </c>
      <c r="D22" s="49">
        <v>801</v>
      </c>
      <c r="E22" s="49">
        <f>'UND TV'!$E17</f>
        <v>9</v>
      </c>
      <c r="F22" s="53">
        <f t="shared" si="0"/>
        <v>7209</v>
      </c>
      <c r="G22" s="54"/>
    </row>
    <row r="23" spans="1:12" ht="30" customHeight="1">
      <c r="A23" s="52">
        <v>16</v>
      </c>
      <c r="B23" s="47" t="s">
        <v>71</v>
      </c>
      <c r="C23" s="48"/>
      <c r="D23" s="49"/>
      <c r="E23" s="49">
        <f>'UND TV'!$E18</f>
        <v>78</v>
      </c>
      <c r="F23" s="53">
        <f t="shared" si="0"/>
        <v>0</v>
      </c>
      <c r="G23" s="54"/>
    </row>
    <row r="24" spans="1:12" ht="30" customHeight="1">
      <c r="A24" s="52">
        <v>17</v>
      </c>
      <c r="B24" s="47" t="s">
        <v>72</v>
      </c>
      <c r="C24" s="48">
        <v>3</v>
      </c>
      <c r="D24" s="49">
        <v>214</v>
      </c>
      <c r="E24" s="49">
        <f>'UND TV'!$E19</f>
        <v>38.5</v>
      </c>
      <c r="F24" s="53">
        <f t="shared" si="0"/>
        <v>8239</v>
      </c>
      <c r="G24" s="54"/>
    </row>
    <row r="25" spans="1:12" ht="30" customHeight="1">
      <c r="A25" s="52">
        <v>18</v>
      </c>
      <c r="B25" s="47" t="s">
        <v>73</v>
      </c>
      <c r="C25" s="48">
        <v>4</v>
      </c>
      <c r="D25" s="49">
        <v>442</v>
      </c>
      <c r="E25" s="49">
        <f>'UND TV'!$E20</f>
        <v>12.2</v>
      </c>
      <c r="F25" s="53">
        <f t="shared" si="0"/>
        <v>5392.4</v>
      </c>
      <c r="G25" s="54"/>
    </row>
    <row r="26" spans="1:12" ht="30" customHeight="1">
      <c r="A26" s="52">
        <v>19</v>
      </c>
      <c r="B26" s="47" t="s">
        <v>74</v>
      </c>
      <c r="C26" s="48">
        <v>1</v>
      </c>
      <c r="D26" s="49">
        <v>23</v>
      </c>
      <c r="E26" s="49">
        <f>'UND TV'!$E21</f>
        <v>30</v>
      </c>
      <c r="F26" s="53">
        <f t="shared" si="0"/>
        <v>690</v>
      </c>
      <c r="G26" s="54"/>
    </row>
    <row r="27" spans="1:12" ht="30" customHeight="1">
      <c r="A27" s="52">
        <v>20</v>
      </c>
      <c r="B27" s="47" t="s">
        <v>75</v>
      </c>
      <c r="C27" s="48">
        <v>1</v>
      </c>
      <c r="D27" s="49">
        <v>108</v>
      </c>
      <c r="E27" s="49">
        <f>'UND TV'!$E22</f>
        <v>54</v>
      </c>
      <c r="F27" s="53">
        <f t="shared" si="0"/>
        <v>5832</v>
      </c>
      <c r="G27" s="54"/>
    </row>
    <row r="28" spans="1:12" ht="30" customHeight="1">
      <c r="A28" s="52">
        <v>21</v>
      </c>
      <c r="B28" s="47" t="s">
        <v>76</v>
      </c>
      <c r="C28" s="48"/>
      <c r="D28" s="49"/>
      <c r="E28" s="49">
        <f>'UND TV'!$E23</f>
        <v>15.43</v>
      </c>
      <c r="F28" s="53">
        <f t="shared" si="0"/>
        <v>0</v>
      </c>
      <c r="G28" s="54"/>
    </row>
    <row r="29" spans="1:12">
      <c r="A29" s="39"/>
      <c r="B29" s="39"/>
      <c r="C29" s="39">
        <f>SUM(C8:C28)</f>
        <v>30</v>
      </c>
      <c r="D29" s="55">
        <f>SUM(D8:D28)</f>
        <v>3390</v>
      </c>
      <c r="F29" s="35" t="s">
        <v>25</v>
      </c>
      <c r="G29" s="45"/>
      <c r="H29" s="35" t="s">
        <v>123</v>
      </c>
    </row>
    <row r="30" spans="1:12" ht="15" customHeight="1">
      <c r="A30" s="186" t="s">
        <v>77</v>
      </c>
      <c r="B30" s="186"/>
      <c r="C30" s="186"/>
      <c r="D30" s="186"/>
      <c r="E30" s="40" t="s">
        <v>50</v>
      </c>
      <c r="F30" s="56">
        <f>SUM(F8:F28)</f>
        <v>48587.19</v>
      </c>
      <c r="G30" s="38"/>
      <c r="H30" s="57">
        <f>F30/F5</f>
        <v>0.12991227272727274</v>
      </c>
    </row>
    <row r="31" spans="1:12">
      <c r="G31" s="38"/>
    </row>
    <row r="32" spans="1:12" ht="15" customHeight="1">
      <c r="A32" s="186" t="s">
        <v>78</v>
      </c>
      <c r="B32" s="186"/>
      <c r="C32" s="186"/>
      <c r="D32" s="186"/>
      <c r="E32" s="40" t="s">
        <v>50</v>
      </c>
      <c r="F32" s="56">
        <f>F5-F30</f>
        <v>325412.81</v>
      </c>
      <c r="G32" s="38"/>
      <c r="H32" s="58">
        <f>F32/F5</f>
        <v>0.87008772727272732</v>
      </c>
    </row>
    <row r="37" spans="1:9">
      <c r="A37" s="59"/>
      <c r="B37" s="59"/>
      <c r="C37" s="59"/>
      <c r="D37" s="59"/>
      <c r="E37" s="59"/>
      <c r="F37" s="59"/>
      <c r="G37" s="59"/>
      <c r="H37" s="59"/>
      <c r="I37" s="59"/>
    </row>
  </sheetData>
  <mergeCells count="6">
    <mergeCell ref="A32:D32"/>
    <mergeCell ref="J6:L6"/>
    <mergeCell ref="A2:F2"/>
    <mergeCell ref="A3:F3"/>
    <mergeCell ref="B5:D5"/>
    <mergeCell ref="A30:D30"/>
  </mergeCells>
  <printOptions horizontalCentered="1"/>
  <pageMargins left="0" right="0" top="0" bottom="0" header="0" footer="0"/>
  <pageSetup paperSize="9" scale="53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M10"/>
  <sheetViews>
    <sheetView workbookViewId="0">
      <selection activeCell="M5" sqref="M5:M10"/>
    </sheetView>
  </sheetViews>
  <sheetFormatPr defaultColWidth="9.140625" defaultRowHeight="12.75"/>
  <cols>
    <col min="1" max="1" width="1.42578125" style="23" customWidth="1"/>
    <col min="2" max="2" width="7.28515625" style="23" bestFit="1" customWidth="1"/>
    <col min="3" max="5" width="9.140625" style="23" customWidth="1"/>
    <col min="6" max="6" width="4" style="23" customWidth="1"/>
    <col min="7" max="7" width="7.42578125" style="23" bestFit="1" customWidth="1"/>
    <col min="8" max="14" width="9.140625" style="23" customWidth="1"/>
    <col min="15" max="15" width="9" style="23" customWidth="1"/>
    <col min="16" max="16384" width="9.140625" style="23"/>
  </cols>
  <sheetData>
    <row r="1" spans="2:13" ht="26.25">
      <c r="B1" s="190" t="s">
        <v>84</v>
      </c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</row>
    <row r="2" spans="2:13" ht="21">
      <c r="B2" s="191" t="s">
        <v>115</v>
      </c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</row>
    <row r="3" spans="2:13" ht="24" thickBot="1">
      <c r="B3" s="192" t="s">
        <v>116</v>
      </c>
      <c r="C3" s="192"/>
      <c r="D3" s="192"/>
      <c r="E3" s="192"/>
      <c r="F3" s="33"/>
      <c r="G3" s="192" t="s">
        <v>117</v>
      </c>
      <c r="H3" s="192"/>
      <c r="I3" s="192"/>
      <c r="J3" s="192"/>
      <c r="K3" s="192"/>
      <c r="L3" s="192"/>
      <c r="M3" s="193"/>
    </row>
    <row r="4" spans="2:13" s="112" customFormat="1" ht="33" thickTop="1" thickBot="1">
      <c r="B4" s="24" t="s">
        <v>86</v>
      </c>
      <c r="C4" s="25" t="s">
        <v>112</v>
      </c>
      <c r="D4" s="25" t="s">
        <v>113</v>
      </c>
      <c r="E4" s="117" t="s">
        <v>114</v>
      </c>
      <c r="G4" s="26" t="s">
        <v>86</v>
      </c>
      <c r="H4" s="118" t="s">
        <v>87</v>
      </c>
      <c r="I4" s="118" t="s">
        <v>88</v>
      </c>
      <c r="J4" s="85" t="s">
        <v>129</v>
      </c>
      <c r="K4" s="85" t="s">
        <v>128</v>
      </c>
      <c r="L4" s="119" t="s">
        <v>89</v>
      </c>
      <c r="M4" s="120" t="s">
        <v>90</v>
      </c>
    </row>
    <row r="5" spans="2:13" ht="15.75">
      <c r="B5" s="27">
        <v>1</v>
      </c>
      <c r="C5" s="28">
        <v>0.84</v>
      </c>
      <c r="D5" s="28">
        <v>0.82</v>
      </c>
      <c r="E5" s="28">
        <v>0.75</v>
      </c>
      <c r="G5" s="29">
        <v>1</v>
      </c>
      <c r="H5" s="28">
        <v>0.6</v>
      </c>
      <c r="I5" s="28">
        <v>1</v>
      </c>
      <c r="J5" s="116">
        <f t="shared" ref="J5:J10" si="0">H5/2</f>
        <v>0.3</v>
      </c>
      <c r="K5" s="116">
        <f t="shared" ref="K5:K10" si="1">I5*1.5</f>
        <v>1.5</v>
      </c>
      <c r="L5" s="30"/>
      <c r="M5" s="31">
        <v>0.99</v>
      </c>
    </row>
    <row r="6" spans="2:13" ht="15.75">
      <c r="B6" s="27">
        <v>2</v>
      </c>
      <c r="C6" s="28">
        <v>0.98</v>
      </c>
      <c r="D6" s="28">
        <v>0.92</v>
      </c>
      <c r="E6" s="28">
        <v>0.88</v>
      </c>
      <c r="G6" s="29">
        <v>2</v>
      </c>
      <c r="H6" s="28">
        <v>1.4</v>
      </c>
      <c r="I6" s="28">
        <v>1.8</v>
      </c>
      <c r="J6" s="116">
        <f t="shared" si="0"/>
        <v>0.7</v>
      </c>
      <c r="K6" s="116">
        <f t="shared" si="1"/>
        <v>2.7</v>
      </c>
      <c r="L6" s="30"/>
      <c r="M6" s="31">
        <v>1.61</v>
      </c>
    </row>
    <row r="7" spans="2:13" ht="15.75">
      <c r="B7" s="27">
        <v>3</v>
      </c>
      <c r="C7" s="28">
        <v>1.08</v>
      </c>
      <c r="D7" s="28">
        <v>1.03</v>
      </c>
      <c r="E7" s="28">
        <v>1</v>
      </c>
      <c r="G7" s="29">
        <v>3</v>
      </c>
      <c r="H7" s="28">
        <v>1.8</v>
      </c>
      <c r="I7" s="28">
        <v>2.2999999999999998</v>
      </c>
      <c r="J7" s="116">
        <f t="shared" si="0"/>
        <v>0.9</v>
      </c>
      <c r="K7" s="116">
        <f t="shared" si="1"/>
        <v>3.4499999999999997</v>
      </c>
      <c r="L7" s="30"/>
      <c r="M7" s="31">
        <v>2.0499999999999998</v>
      </c>
    </row>
    <row r="8" spans="2:13" ht="15.75">
      <c r="B8" s="27">
        <v>4</v>
      </c>
      <c r="C8" s="28">
        <v>1.1599999999999999</v>
      </c>
      <c r="D8" s="28">
        <v>1.1000000000000001</v>
      </c>
      <c r="E8" s="28">
        <v>1.08</v>
      </c>
      <c r="G8" s="29">
        <v>4</v>
      </c>
      <c r="H8" s="28">
        <v>2.2000000000000002</v>
      </c>
      <c r="I8" s="28">
        <v>3</v>
      </c>
      <c r="J8" s="116">
        <f t="shared" si="0"/>
        <v>1.1000000000000001</v>
      </c>
      <c r="K8" s="116">
        <f t="shared" si="1"/>
        <v>4.5</v>
      </c>
      <c r="L8" s="30"/>
      <c r="M8" s="31">
        <v>2.6</v>
      </c>
    </row>
    <row r="9" spans="2:13" ht="15.75">
      <c r="B9" s="27">
        <v>5</v>
      </c>
      <c r="C9" s="28">
        <v>1.24</v>
      </c>
      <c r="D9" s="28">
        <v>1.17</v>
      </c>
      <c r="E9" s="28">
        <v>1.1100000000000001</v>
      </c>
      <c r="G9" s="29">
        <v>5</v>
      </c>
      <c r="H9" s="28">
        <v>2.9</v>
      </c>
      <c r="I9" s="28">
        <v>3.6</v>
      </c>
      <c r="J9" s="116">
        <f t="shared" si="0"/>
        <v>1.45</v>
      </c>
      <c r="K9" s="116">
        <f t="shared" si="1"/>
        <v>5.4</v>
      </c>
      <c r="L9" s="30"/>
      <c r="M9" s="31">
        <v>3.25</v>
      </c>
    </row>
    <row r="10" spans="2:13" ht="15.75">
      <c r="B10" s="27" t="s">
        <v>24</v>
      </c>
      <c r="C10" s="28">
        <v>1.3</v>
      </c>
      <c r="D10" s="28">
        <v>1.21</v>
      </c>
      <c r="E10" s="28">
        <v>1.1000000000000001</v>
      </c>
      <c r="G10" s="32" t="s">
        <v>24</v>
      </c>
      <c r="H10" s="28">
        <v>3.4</v>
      </c>
      <c r="I10" s="28">
        <v>4.0999999999999996</v>
      </c>
      <c r="J10" s="116">
        <f t="shared" si="0"/>
        <v>1.7</v>
      </c>
      <c r="K10" s="116">
        <f t="shared" si="1"/>
        <v>6.1499999999999995</v>
      </c>
      <c r="L10" s="30"/>
      <c r="M10" s="31">
        <v>3.75</v>
      </c>
    </row>
  </sheetData>
  <mergeCells count="4">
    <mergeCell ref="B1:M1"/>
    <mergeCell ref="B2:M2"/>
    <mergeCell ref="B3:E3"/>
    <mergeCell ref="G3:M3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22"/>
  <sheetViews>
    <sheetView workbookViewId="0">
      <selection activeCell="J48" sqref="J48"/>
    </sheetView>
  </sheetViews>
  <sheetFormatPr defaultColWidth="9.140625" defaultRowHeight="15"/>
  <cols>
    <col min="1" max="1" width="16.42578125" style="6" customWidth="1"/>
    <col min="2" max="2" width="12" style="6" customWidth="1"/>
    <col min="3" max="3" width="13.5703125" style="6" customWidth="1"/>
    <col min="4" max="4" width="14.28515625" style="6" customWidth="1"/>
    <col min="5" max="5" width="12.28515625" style="6" customWidth="1"/>
    <col min="6" max="6" width="12.7109375" style="6" bestFit="1" customWidth="1"/>
    <col min="7" max="7" width="14" style="6" hidden="1" customWidth="1"/>
    <col min="8" max="8" width="12.5703125" style="6" customWidth="1"/>
    <col min="9" max="9" width="6.7109375" style="6" customWidth="1"/>
    <col min="10" max="10" width="9.140625" style="6"/>
    <col min="11" max="11" width="12" style="6" bestFit="1" customWidth="1"/>
    <col min="12" max="12" width="11.28515625" style="6" customWidth="1"/>
    <col min="13" max="13" width="12.140625" style="6" bestFit="1" customWidth="1"/>
    <col min="14" max="16384" width="9.140625" style="6"/>
  </cols>
  <sheetData>
    <row r="1" spans="1:9" ht="29.25" customHeight="1" thickBot="1">
      <c r="A1" s="194" t="s">
        <v>118</v>
      </c>
      <c r="B1" s="194"/>
      <c r="C1" s="194"/>
      <c r="D1" s="194"/>
      <c r="E1" s="194"/>
      <c r="F1" s="195"/>
      <c r="G1" s="194"/>
    </row>
    <row r="2" spans="1:9" s="7" customFormat="1" ht="32.25" customHeight="1" thickTop="1">
      <c r="A2" s="280" t="s">
        <v>22</v>
      </c>
      <c r="B2" s="280" t="s">
        <v>23</v>
      </c>
      <c r="C2" s="280" t="s">
        <v>26</v>
      </c>
      <c r="D2" s="280" t="s">
        <v>80</v>
      </c>
      <c r="E2" s="281" t="s">
        <v>27</v>
      </c>
      <c r="F2" s="282" t="s">
        <v>29</v>
      </c>
      <c r="G2" s="20" t="s">
        <v>28</v>
      </c>
    </row>
    <row r="3" spans="1:9">
      <c r="A3" s="8">
        <v>1</v>
      </c>
      <c r="B3" s="9" t="str">
        <f>'Produzione rifiuti teorica'!$K8</f>
        <v>184</v>
      </c>
      <c r="C3" s="9">
        <f>'Produzione rifiuti teorica'!$L8</f>
        <v>18086</v>
      </c>
      <c r="D3" s="10">
        <f>'UD Scelta Coefficienti'!$E5</f>
        <v>0.75</v>
      </c>
      <c r="E3" s="11">
        <f>B14</f>
        <v>0.53302108445175078</v>
      </c>
      <c r="F3" s="123">
        <f t="shared" ref="F3:F8" si="0">(E3*D3)</f>
        <v>0.39976581333881311</v>
      </c>
      <c r="G3" s="12">
        <f t="shared" ref="G3:G8" si="1">(F3*C3)</f>
        <v>7230.1645000457738</v>
      </c>
      <c r="H3" s="13"/>
    </row>
    <row r="4" spans="1:9">
      <c r="A4" s="8">
        <v>2</v>
      </c>
      <c r="B4" s="9" t="str">
        <f>'Produzione rifiuti teorica'!$K9</f>
        <v>147</v>
      </c>
      <c r="C4" s="9">
        <f>'Produzione rifiuti teorica'!$L9</f>
        <v>15965</v>
      </c>
      <c r="D4" s="10">
        <f>'UD Scelta Coefficienti'!$E6</f>
        <v>0.88</v>
      </c>
      <c r="E4" s="11">
        <f>B14</f>
        <v>0.53302108445175078</v>
      </c>
      <c r="F4" s="123">
        <f t="shared" si="0"/>
        <v>0.46905855431754068</v>
      </c>
      <c r="G4" s="12">
        <f t="shared" si="1"/>
        <v>7488.5198196795372</v>
      </c>
      <c r="H4" s="13"/>
    </row>
    <row r="5" spans="1:9">
      <c r="A5" s="8">
        <v>3</v>
      </c>
      <c r="B5" s="9" t="str">
        <f>'Produzione rifiuti teorica'!$K10</f>
        <v>108</v>
      </c>
      <c r="C5" s="9">
        <f>'Produzione rifiuti teorica'!$L10</f>
        <v>11468</v>
      </c>
      <c r="D5" s="10">
        <f>'UD Scelta Coefficienti'!$E7</f>
        <v>1</v>
      </c>
      <c r="E5" s="11">
        <f>B14</f>
        <v>0.53302108445175078</v>
      </c>
      <c r="F5" s="123">
        <f t="shared" si="0"/>
        <v>0.53302108445175078</v>
      </c>
      <c r="G5" s="12">
        <f t="shared" si="1"/>
        <v>6112.6857964926776</v>
      </c>
      <c r="H5" s="13"/>
    </row>
    <row r="6" spans="1:9">
      <c r="A6" s="8">
        <v>4</v>
      </c>
      <c r="B6" s="9" t="str">
        <f>'Produzione rifiuti teorica'!$K11</f>
        <v>60</v>
      </c>
      <c r="C6" s="9">
        <f>'Produzione rifiuti teorica'!$L11</f>
        <v>7186</v>
      </c>
      <c r="D6" s="10">
        <f>'UD Scelta Coefficienti'!$E8</f>
        <v>1.08</v>
      </c>
      <c r="E6" s="11">
        <f>B14</f>
        <v>0.53302108445175078</v>
      </c>
      <c r="F6" s="123">
        <f t="shared" si="0"/>
        <v>0.57566277120789089</v>
      </c>
      <c r="G6" s="12">
        <f t="shared" si="1"/>
        <v>4136.7126738999041</v>
      </c>
      <c r="H6" s="13"/>
    </row>
    <row r="7" spans="1:9">
      <c r="A7" s="8">
        <v>5</v>
      </c>
      <c r="B7" s="9" t="str">
        <f>'Produzione rifiuti teorica'!$K12</f>
        <v>14</v>
      </c>
      <c r="C7" s="9">
        <f>'Produzione rifiuti teorica'!$L12</f>
        <v>1558</v>
      </c>
      <c r="D7" s="10">
        <f>'UD Scelta Coefficienti'!$E9</f>
        <v>1.1100000000000001</v>
      </c>
      <c r="E7" s="11">
        <f>B14</f>
        <v>0.53302108445175078</v>
      </c>
      <c r="F7" s="123">
        <f t="shared" si="0"/>
        <v>0.59165340374144337</v>
      </c>
      <c r="G7" s="12">
        <f t="shared" si="1"/>
        <v>921.79600302916879</v>
      </c>
      <c r="H7" s="13"/>
    </row>
    <row r="8" spans="1:9">
      <c r="A8" s="8" t="s">
        <v>24</v>
      </c>
      <c r="B8" s="9">
        <f>'Produzione rifiuti teorica'!$K13</f>
        <v>9</v>
      </c>
      <c r="C8" s="9">
        <f>'Produzione rifiuti teorica'!$L13</f>
        <v>1137</v>
      </c>
      <c r="D8" s="10">
        <f>'UD Scelta Coefficienti'!$E10</f>
        <v>1.1000000000000001</v>
      </c>
      <c r="E8" s="11">
        <f>B14</f>
        <v>0.53302108445175078</v>
      </c>
      <c r="F8" s="123">
        <f t="shared" si="0"/>
        <v>0.58632319289692592</v>
      </c>
      <c r="G8" s="12">
        <f t="shared" si="1"/>
        <v>666.64947032380474</v>
      </c>
      <c r="H8" s="13"/>
    </row>
    <row r="9" spans="1:9">
      <c r="A9" s="8"/>
      <c r="B9" s="9"/>
      <c r="C9" s="9"/>
      <c r="D9" s="10"/>
      <c r="E9" s="11"/>
      <c r="F9" s="123"/>
      <c r="G9" s="12"/>
      <c r="H9" s="13"/>
    </row>
    <row r="10" spans="1:9" ht="15.75" thickBot="1">
      <c r="A10" s="10" t="s">
        <v>25</v>
      </c>
      <c r="B10" s="9">
        <f>SUM(B3:B9)</f>
        <v>9</v>
      </c>
      <c r="C10" s="9">
        <f>SUM(C3:C9)</f>
        <v>55400</v>
      </c>
      <c r="D10" s="10"/>
      <c r="E10" s="14"/>
      <c r="F10" s="22"/>
      <c r="G10" s="12">
        <f>SUM(G3:G9)</f>
        <v>26556.528263470867</v>
      </c>
      <c r="H10" s="16">
        <f>'Dati iniziali'!C7-'UD TF'!G10</f>
        <v>0</v>
      </c>
    </row>
    <row r="11" spans="1:9" ht="15.75" thickTop="1">
      <c r="F11" s="13"/>
    </row>
    <row r="12" spans="1:9">
      <c r="I12" s="7"/>
    </row>
    <row r="13" spans="1:9">
      <c r="I13" s="7"/>
    </row>
    <row r="14" spans="1:9">
      <c r="A14" s="18" t="s">
        <v>35</v>
      </c>
      <c r="B14" s="19">
        <f>('Dati iniziali'!C7)/((C3*D3)+(C4*D4)+(C5*D5)+(C6*D6)+(C7*D7)+(C8*D8))</f>
        <v>0.53302108445175078</v>
      </c>
      <c r="I14" s="7"/>
    </row>
    <row r="15" spans="1:9">
      <c r="I15" s="7"/>
    </row>
    <row r="16" spans="1:9">
      <c r="A16" s="196"/>
      <c r="B16" s="196"/>
      <c r="C16" s="196"/>
      <c r="D16" s="196"/>
      <c r="E16" s="196"/>
      <c r="F16" s="196"/>
      <c r="G16" s="196"/>
    </row>
    <row r="22" spans="1:2">
      <c r="A22" s="18"/>
      <c r="B22" s="19"/>
    </row>
  </sheetData>
  <mergeCells count="2">
    <mergeCell ref="A1:G1"/>
    <mergeCell ref="A16:G16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28"/>
  <sheetViews>
    <sheetView workbookViewId="0">
      <selection sqref="A1:I8"/>
    </sheetView>
  </sheetViews>
  <sheetFormatPr defaultColWidth="9.140625" defaultRowHeight="15"/>
  <cols>
    <col min="1" max="1" width="17.42578125" style="6" customWidth="1"/>
    <col min="2" max="2" width="19.140625" style="6" bestFit="1" customWidth="1"/>
    <col min="3" max="3" width="12.28515625" style="6" bestFit="1" customWidth="1"/>
    <col min="4" max="4" width="10.5703125" style="6" customWidth="1"/>
    <col min="5" max="6" width="11.7109375" style="6" customWidth="1"/>
    <col min="7" max="7" width="9.140625" style="6"/>
    <col min="8" max="8" width="11" style="6" customWidth="1"/>
    <col min="9" max="9" width="12.7109375" style="6" hidden="1" customWidth="1"/>
    <col min="10" max="10" width="15" style="6" customWidth="1"/>
    <col min="11" max="11" width="9.140625" style="6"/>
    <col min="12" max="15" width="15.7109375" style="6" customWidth="1"/>
    <col min="16" max="16384" width="9.140625" style="6"/>
  </cols>
  <sheetData>
    <row r="1" spans="1:10" ht="29.25" customHeight="1" thickBot="1">
      <c r="A1" s="180" t="s">
        <v>124</v>
      </c>
      <c r="B1" s="180"/>
      <c r="C1" s="180"/>
      <c r="D1" s="180"/>
      <c r="E1" s="180"/>
      <c r="F1" s="180"/>
      <c r="G1" s="180"/>
      <c r="H1" s="197"/>
      <c r="I1" s="180"/>
    </row>
    <row r="2" spans="1:10" ht="60.75" thickTop="1">
      <c r="A2" s="280" t="s">
        <v>22</v>
      </c>
      <c r="B2" s="280" t="s">
        <v>23</v>
      </c>
      <c r="C2" s="280" t="s">
        <v>138</v>
      </c>
      <c r="D2" s="280" t="s">
        <v>26</v>
      </c>
      <c r="E2" s="280" t="s">
        <v>90</v>
      </c>
      <c r="F2" s="280" t="s">
        <v>31</v>
      </c>
      <c r="G2" s="281" t="s">
        <v>34</v>
      </c>
      <c r="H2" s="282" t="s">
        <v>33</v>
      </c>
      <c r="I2" s="20" t="s">
        <v>32</v>
      </c>
    </row>
    <row r="3" spans="1:10">
      <c r="A3" s="8">
        <v>1</v>
      </c>
      <c r="B3" s="9" t="str">
        <f>'Produzione rifiuti teorica'!$K8</f>
        <v>184</v>
      </c>
      <c r="C3" s="9">
        <f t="shared" ref="C3:C8" si="0">B3-B23</f>
        <v>184</v>
      </c>
      <c r="D3" s="9">
        <f>'Produzione rifiuti teorica'!$L8-C23</f>
        <v>18086</v>
      </c>
      <c r="E3" s="64">
        <f>'UD Scelta Coefficienti'!$M5</f>
        <v>0.99</v>
      </c>
      <c r="F3" s="67">
        <f>C17</f>
        <v>380.20286014529171</v>
      </c>
      <c r="G3" s="68">
        <f>('Dati iniziali'!C8/'Dati iniziali'!C13)</f>
        <v>0.28310677332791179</v>
      </c>
      <c r="H3" s="21">
        <f t="shared" ref="H3:H8" si="1">(F3*E3*G3)</f>
        <v>106.56162489631907</v>
      </c>
      <c r="I3" s="69">
        <f t="shared" ref="I3:I8" si="2">(H3*C3)</f>
        <v>19607.338980922708</v>
      </c>
    </row>
    <row r="4" spans="1:10">
      <c r="A4" s="8">
        <v>2</v>
      </c>
      <c r="B4" s="9" t="str">
        <f>'Produzione rifiuti teorica'!$K9</f>
        <v>147</v>
      </c>
      <c r="C4" s="9">
        <f t="shared" si="0"/>
        <v>147</v>
      </c>
      <c r="D4" s="9">
        <f>'Produzione rifiuti teorica'!$L9-C24</f>
        <v>15965</v>
      </c>
      <c r="E4" s="64">
        <f>'UD Scelta Coefficienti'!$M6</f>
        <v>1.61</v>
      </c>
      <c r="F4" s="67">
        <f>C17</f>
        <v>380.20286014529171</v>
      </c>
      <c r="G4" s="68">
        <f>('Dati iniziali'!C8/'Dati iniziali'!C13)</f>
        <v>0.28310677332791179</v>
      </c>
      <c r="H4" s="21">
        <f t="shared" si="1"/>
        <v>173.29718796270075</v>
      </c>
      <c r="I4" s="69">
        <f t="shared" si="2"/>
        <v>25474.686630517012</v>
      </c>
    </row>
    <row r="5" spans="1:10">
      <c r="A5" s="8">
        <v>3</v>
      </c>
      <c r="B5" s="9" t="str">
        <f>'Produzione rifiuti teorica'!$K10</f>
        <v>108</v>
      </c>
      <c r="C5" s="9">
        <f t="shared" si="0"/>
        <v>108</v>
      </c>
      <c r="D5" s="9">
        <f>'Produzione rifiuti teorica'!$L10-C25</f>
        <v>11468</v>
      </c>
      <c r="E5" s="64">
        <f>'UD Scelta Coefficienti'!$M7</f>
        <v>2.0499999999999998</v>
      </c>
      <c r="F5" s="67">
        <f>C17</f>
        <v>380.20286014529171</v>
      </c>
      <c r="G5" s="68">
        <f>('Dati iniziali'!C8/'Dati iniziali'!C13)</f>
        <v>0.28310677332791179</v>
      </c>
      <c r="H5" s="21">
        <f t="shared" si="1"/>
        <v>220.65791013884254</v>
      </c>
      <c r="I5" s="69">
        <f t="shared" si="2"/>
        <v>23831.054294994996</v>
      </c>
    </row>
    <row r="6" spans="1:10">
      <c r="A6" s="8">
        <v>4</v>
      </c>
      <c r="B6" s="9" t="str">
        <f>'Produzione rifiuti teorica'!$K11</f>
        <v>60</v>
      </c>
      <c r="C6" s="9">
        <f t="shared" si="0"/>
        <v>60</v>
      </c>
      <c r="D6" s="9">
        <f>'Produzione rifiuti teorica'!$L11-C26</f>
        <v>7186</v>
      </c>
      <c r="E6" s="64">
        <f>'UD Scelta Coefficienti'!$M8</f>
        <v>2.6</v>
      </c>
      <c r="F6" s="67">
        <f>C17</f>
        <v>380.20286014529171</v>
      </c>
      <c r="G6" s="68">
        <f>('Dati iniziali'!C8/'Dati iniziali'!C13)</f>
        <v>0.28310677332791179</v>
      </c>
      <c r="H6" s="21">
        <f t="shared" si="1"/>
        <v>279.85881285901979</v>
      </c>
      <c r="I6" s="69">
        <f t="shared" si="2"/>
        <v>16791.528771541187</v>
      </c>
    </row>
    <row r="7" spans="1:10">
      <c r="A7" s="8">
        <v>5</v>
      </c>
      <c r="B7" s="9" t="str">
        <f>'Produzione rifiuti teorica'!$K12</f>
        <v>14</v>
      </c>
      <c r="C7" s="9">
        <f t="shared" si="0"/>
        <v>14</v>
      </c>
      <c r="D7" s="9">
        <f>'Produzione rifiuti teorica'!$L12-C27</f>
        <v>1558</v>
      </c>
      <c r="E7" s="64">
        <f>'UD Scelta Coefficienti'!$M9</f>
        <v>3.25</v>
      </c>
      <c r="F7" s="67">
        <f>C17</f>
        <v>380.20286014529171</v>
      </c>
      <c r="G7" s="68">
        <f>('Dati iniziali'!C8/'Dati iniziali'!C13)</f>
        <v>0.28310677332791179</v>
      </c>
      <c r="H7" s="21">
        <f t="shared" si="1"/>
        <v>349.82351607377473</v>
      </c>
      <c r="I7" s="69">
        <f t="shared" si="2"/>
        <v>4897.5292250328457</v>
      </c>
    </row>
    <row r="8" spans="1:10">
      <c r="A8" s="8" t="s">
        <v>24</v>
      </c>
      <c r="B8" s="9">
        <f>'Produzione rifiuti teorica'!$K13</f>
        <v>9</v>
      </c>
      <c r="C8" s="9">
        <f t="shared" si="0"/>
        <v>9</v>
      </c>
      <c r="D8" s="9">
        <f>'Produzione rifiuti teorica'!$L13-C28</f>
        <v>1137</v>
      </c>
      <c r="E8" s="64">
        <f>'UD Scelta Coefficienti'!$M10</f>
        <v>3.75</v>
      </c>
      <c r="F8" s="67">
        <f>C17</f>
        <v>380.20286014529171</v>
      </c>
      <c r="G8" s="68">
        <f>('Dati iniziali'!C8/'Dati iniziali'!C13)</f>
        <v>0.28310677332791179</v>
      </c>
      <c r="H8" s="21">
        <f t="shared" si="1"/>
        <v>403.64251854666315</v>
      </c>
      <c r="I8" s="69">
        <f t="shared" si="2"/>
        <v>3632.7826669199685</v>
      </c>
    </row>
    <row r="9" spans="1:10">
      <c r="A9" s="10"/>
      <c r="B9" s="9"/>
      <c r="C9" s="9"/>
      <c r="D9" s="9"/>
      <c r="E9" s="10"/>
      <c r="F9" s="10"/>
      <c r="G9" s="70"/>
      <c r="H9" s="21"/>
      <c r="I9" s="15"/>
    </row>
    <row r="10" spans="1:10" ht="15.75" thickBot="1">
      <c r="A10" s="10" t="s">
        <v>25</v>
      </c>
      <c r="B10" s="9">
        <f>SUM(B3:B9)</f>
        <v>9</v>
      </c>
      <c r="C10" s="9">
        <f>SUM(C3:C9)</f>
        <v>522</v>
      </c>
      <c r="D10" s="9">
        <f>SUM(D3:D9)</f>
        <v>55400</v>
      </c>
      <c r="E10" s="10"/>
      <c r="F10" s="10"/>
      <c r="G10" s="70"/>
      <c r="H10" s="74"/>
      <c r="I10" s="12">
        <f>SUM(I3:I9)</f>
        <v>94234.920569928727</v>
      </c>
      <c r="J10" s="16">
        <f>'Dati iniziali'!C8-'UD TV'!I10</f>
        <v>0</v>
      </c>
    </row>
    <row r="11" spans="1:10" ht="15.75" thickTop="1"/>
    <row r="14" spans="1:10">
      <c r="A14" s="18" t="s">
        <v>81</v>
      </c>
      <c r="B14" s="18"/>
      <c r="C14" s="73">
        <f>'Dati iniziali'!C13</f>
        <v>332860</v>
      </c>
    </row>
    <row r="15" spans="1:10">
      <c r="A15" s="71"/>
      <c r="B15" s="71"/>
      <c r="C15" s="71"/>
    </row>
    <row r="16" spans="1:10">
      <c r="A16" s="71"/>
      <c r="B16" s="71"/>
      <c r="C16" s="71"/>
    </row>
    <row r="17" spans="1:3">
      <c r="A17" s="18" t="s">
        <v>36</v>
      </c>
      <c r="B17" s="18"/>
      <c r="C17" s="124">
        <f>C14/((C3*E3)+(C4*E4)+(C5*E5)+(C6*E6)+(C7*E7)+(C8*E8))</f>
        <v>380.20286014529171</v>
      </c>
    </row>
    <row r="21" spans="1:3" ht="21.75" customHeight="1">
      <c r="A21" s="198" t="s">
        <v>148</v>
      </c>
      <c r="B21" s="199"/>
      <c r="C21" s="199"/>
    </row>
    <row r="22" spans="1:3" ht="21.75" customHeight="1">
      <c r="A22" s="63" t="s">
        <v>149</v>
      </c>
      <c r="B22" s="63" t="s">
        <v>150</v>
      </c>
      <c r="C22" s="63" t="s">
        <v>167</v>
      </c>
    </row>
    <row r="23" spans="1:3" ht="21.75" customHeight="1">
      <c r="A23" s="10">
        <v>1</v>
      </c>
      <c r="B23" s="10"/>
      <c r="C23" s="10"/>
    </row>
    <row r="24" spans="1:3" ht="21.75" customHeight="1">
      <c r="A24" s="10">
        <v>2</v>
      </c>
      <c r="B24" s="10"/>
      <c r="C24" s="10"/>
    </row>
    <row r="25" spans="1:3">
      <c r="A25" s="10">
        <v>3</v>
      </c>
      <c r="B25" s="10"/>
      <c r="C25" s="10"/>
    </row>
    <row r="26" spans="1:3">
      <c r="A26" s="10">
        <v>4</v>
      </c>
      <c r="B26" s="10"/>
      <c r="C26" s="10"/>
    </row>
    <row r="27" spans="1:3">
      <c r="A27" s="10">
        <v>5</v>
      </c>
      <c r="B27" s="10"/>
      <c r="C27" s="10"/>
    </row>
    <row r="28" spans="1:3">
      <c r="A28" s="10" t="s">
        <v>166</v>
      </c>
      <c r="B28" s="10"/>
      <c r="C28" s="10"/>
    </row>
  </sheetData>
  <mergeCells count="2">
    <mergeCell ref="A1:I1"/>
    <mergeCell ref="A21:C21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</sheetPr>
  <dimension ref="A1:P9"/>
  <sheetViews>
    <sheetView tabSelected="1" workbookViewId="0">
      <selection activeCell="F19" sqref="F19"/>
    </sheetView>
  </sheetViews>
  <sheetFormatPr defaultColWidth="9.140625" defaultRowHeight="15"/>
  <cols>
    <col min="1" max="1" width="11.140625" style="6" customWidth="1"/>
    <col min="2" max="2" width="16.5703125" style="6" customWidth="1"/>
    <col min="3" max="3" width="21.28515625" style="6" customWidth="1"/>
    <col min="4" max="4" width="4" style="6" customWidth="1"/>
    <col min="5" max="6" width="15.140625" style="6" customWidth="1"/>
    <col min="7" max="7" width="2.7109375" style="6" customWidth="1"/>
    <col min="8" max="8" width="11.140625" style="6" customWidth="1"/>
    <col min="9" max="9" width="11.5703125" style="6" customWidth="1"/>
    <col min="10" max="10" width="1.7109375" style="6" customWidth="1"/>
    <col min="11" max="11" width="8.5703125" style="6" customWidth="1"/>
    <col min="12" max="12" width="10.7109375" style="6" customWidth="1"/>
    <col min="13" max="13" width="11.5703125" style="6" customWidth="1"/>
    <col min="14" max="14" width="10.7109375" style="6" bestFit="1" customWidth="1"/>
    <col min="15" max="15" width="18.7109375" style="6" customWidth="1"/>
    <col min="16" max="16" width="6.140625" style="6" customWidth="1"/>
    <col min="17" max="16384" width="9.140625" style="6"/>
  </cols>
  <sheetData>
    <row r="1" spans="1:16" s="80" customFormat="1" ht="61.5" customHeight="1">
      <c r="A1" s="176" t="s">
        <v>177</v>
      </c>
      <c r="B1" s="177"/>
      <c r="C1" s="178"/>
      <c r="E1" s="179" t="s">
        <v>178</v>
      </c>
      <c r="F1" s="179"/>
      <c r="K1" s="180" t="s">
        <v>144</v>
      </c>
      <c r="L1" s="180"/>
      <c r="M1" s="180"/>
      <c r="N1" s="180"/>
      <c r="O1" s="180"/>
    </row>
    <row r="2" spans="1:16" ht="30" customHeight="1">
      <c r="A2" s="156" t="s">
        <v>22</v>
      </c>
      <c r="B2" s="128" t="s">
        <v>125</v>
      </c>
      <c r="C2" s="157" t="s">
        <v>126</v>
      </c>
      <c r="E2" s="75" t="s">
        <v>179</v>
      </c>
      <c r="F2" s="75" t="s">
        <v>180</v>
      </c>
      <c r="H2" s="75" t="s">
        <v>109</v>
      </c>
      <c r="I2" s="75" t="s">
        <v>110</v>
      </c>
      <c r="K2" s="75" t="s">
        <v>111</v>
      </c>
      <c r="L2" s="115" t="s">
        <v>137</v>
      </c>
      <c r="M2" s="75" t="s">
        <v>181</v>
      </c>
      <c r="N2" s="75" t="s">
        <v>176</v>
      </c>
      <c r="O2" s="75" t="s">
        <v>108</v>
      </c>
    </row>
    <row r="3" spans="1:16" ht="24" customHeight="1">
      <c r="A3" s="158">
        <v>1</v>
      </c>
      <c r="B3" s="122">
        <f>'UD TF'!F3</f>
        <v>0.39976581333881311</v>
      </c>
      <c r="C3" s="159">
        <f>'UD TV'!H3</f>
        <v>106.56162489631907</v>
      </c>
      <c r="E3" s="130">
        <v>0.38330154285592666</v>
      </c>
      <c r="F3" s="130">
        <v>100.73251565515773</v>
      </c>
      <c r="H3" s="76">
        <f>B3-E3</f>
        <v>1.6464270482886456E-2</v>
      </c>
      <c r="I3" s="77">
        <f t="shared" ref="H3:I8" si="0">C3-F3</f>
        <v>5.8291092411613477</v>
      </c>
      <c r="K3" s="78">
        <v>100</v>
      </c>
      <c r="L3" s="114">
        <v>0.05</v>
      </c>
      <c r="M3" s="64">
        <f>IF(K3&lt;&gt;0,((K3*B3)+C3*(1+L3)),0)</f>
        <v>151.86628747501635</v>
      </c>
      <c r="N3" s="64">
        <f>IF(K3&lt;&gt;0,((K3*E3)+F3)*(1+L3),0)</f>
        <v>146.01580343778792</v>
      </c>
      <c r="O3" s="79">
        <f>M3-N3</f>
        <v>5.8504840372284264</v>
      </c>
      <c r="P3" s="138">
        <f>O3/N3</f>
        <v>4.0067471461889444E-2</v>
      </c>
    </row>
    <row r="4" spans="1:16" ht="24" customHeight="1">
      <c r="A4" s="158">
        <v>2</v>
      </c>
      <c r="B4" s="122">
        <f>'UD TF'!F4</f>
        <v>0.46905855431754068</v>
      </c>
      <c r="C4" s="159">
        <f>'UD TV'!H4</f>
        <v>173.29718796270075</v>
      </c>
      <c r="E4" s="130">
        <v>0.44974047695095398</v>
      </c>
      <c r="F4" s="130">
        <v>163.81752545939793</v>
      </c>
      <c r="H4" s="76">
        <f t="shared" si="0"/>
        <v>1.9318077366586694E-2</v>
      </c>
      <c r="I4" s="77">
        <f t="shared" si="0"/>
        <v>9.4796625033028192</v>
      </c>
      <c r="K4" s="78">
        <f>$K$3</f>
        <v>100</v>
      </c>
      <c r="L4" s="114">
        <v>0.05</v>
      </c>
      <c r="M4" s="64">
        <f t="shared" ref="M4:M8" si="1">IF(K4&lt;&gt;0,((K4*B4)+C4*(1+L4)),0)</f>
        <v>228.86790279258986</v>
      </c>
      <c r="N4" s="64">
        <f>IF(K4&lt;&gt;0,((K4*E4)+F4)*(1+L4),0)</f>
        <v>219.231151812218</v>
      </c>
      <c r="O4" s="79">
        <f t="shared" ref="O4:O8" si="2">M4-N4</f>
        <v>9.6367509803718576</v>
      </c>
      <c r="P4" s="138">
        <f t="shared" ref="P4:P8" si="3">O4/N4</f>
        <v>4.3957033025243591E-2</v>
      </c>
    </row>
    <row r="5" spans="1:16" ht="24" customHeight="1">
      <c r="A5" s="158">
        <v>3</v>
      </c>
      <c r="B5" s="122">
        <f>'UD TF'!F5</f>
        <v>0.53302108445175078</v>
      </c>
      <c r="C5" s="159">
        <f>'UD TV'!H5</f>
        <v>220.65791013884254</v>
      </c>
      <c r="E5" s="130">
        <v>0.51106872380790225</v>
      </c>
      <c r="F5" s="130">
        <v>208.58753241724577</v>
      </c>
      <c r="H5" s="76">
        <f t="shared" si="0"/>
        <v>2.1952360643848534E-2</v>
      </c>
      <c r="I5" s="77">
        <f t="shared" si="0"/>
        <v>12.07037772159677</v>
      </c>
      <c r="K5" s="78">
        <f t="shared" ref="K5:K8" si="4">$K$3</f>
        <v>100</v>
      </c>
      <c r="L5" s="114">
        <v>0.05</v>
      </c>
      <c r="M5" s="64">
        <f t="shared" si="1"/>
        <v>284.99291409095974</v>
      </c>
      <c r="N5" s="64">
        <f>IF(K5&lt;&gt;0,((K5*E5)+F5)*(1+L5),0)</f>
        <v>272.67912503793781</v>
      </c>
      <c r="O5" s="79">
        <f t="shared" si="2"/>
        <v>12.313789053021935</v>
      </c>
      <c r="P5" s="138">
        <f t="shared" si="3"/>
        <v>4.5158532217340508E-2</v>
      </c>
    </row>
    <row r="6" spans="1:16" ht="24" customHeight="1">
      <c r="A6" s="158">
        <v>4</v>
      </c>
      <c r="B6" s="122">
        <f>'UD TF'!F6</f>
        <v>0.57566277120789089</v>
      </c>
      <c r="C6" s="159">
        <f>'UD TV'!H6</f>
        <v>279.85881285901979</v>
      </c>
      <c r="E6" s="130">
        <v>0.5519542217125345</v>
      </c>
      <c r="F6" s="130">
        <v>264.55004111455565</v>
      </c>
      <c r="H6" s="76">
        <f t="shared" si="0"/>
        <v>2.370854949535639E-2</v>
      </c>
      <c r="I6" s="77">
        <f t="shared" si="0"/>
        <v>15.308771744464138</v>
      </c>
      <c r="K6" s="78">
        <f t="shared" si="4"/>
        <v>100</v>
      </c>
      <c r="L6" s="114">
        <v>0.05</v>
      </c>
      <c r="M6" s="64">
        <f t="shared" si="1"/>
        <v>351.41803062275989</v>
      </c>
      <c r="N6" s="64">
        <f t="shared" ref="N6:N8" si="5">IF(K6&lt;&gt;0,(K6*E6+F6)*(1+L6),0)</f>
        <v>335.73273645009954</v>
      </c>
      <c r="O6" s="79">
        <f t="shared" si="2"/>
        <v>15.685294172660349</v>
      </c>
      <c r="P6" s="138">
        <f t="shared" si="3"/>
        <v>4.6719585163217107E-2</v>
      </c>
    </row>
    <row r="7" spans="1:16" ht="24" customHeight="1">
      <c r="A7" s="158">
        <v>5</v>
      </c>
      <c r="B7" s="122">
        <f>'UD TF'!F7</f>
        <v>0.59165340374144337</v>
      </c>
      <c r="C7" s="159">
        <f>'UD TV'!H7</f>
        <v>349.82351607377473</v>
      </c>
      <c r="E7" s="130">
        <v>0.56728628342677156</v>
      </c>
      <c r="F7" s="130">
        <v>330.68755139319455</v>
      </c>
      <c r="H7" s="76">
        <f t="shared" si="0"/>
        <v>2.4367120314671809E-2</v>
      </c>
      <c r="I7" s="77">
        <f t="shared" si="0"/>
        <v>19.135964680580173</v>
      </c>
      <c r="K7" s="78">
        <f t="shared" si="4"/>
        <v>100</v>
      </c>
      <c r="L7" s="114">
        <v>0.05</v>
      </c>
      <c r="M7" s="64">
        <f t="shared" si="1"/>
        <v>426.48003225160778</v>
      </c>
      <c r="N7" s="64">
        <f t="shared" si="5"/>
        <v>406.78698872266528</v>
      </c>
      <c r="O7" s="79">
        <f t="shared" si="2"/>
        <v>19.693043528942496</v>
      </c>
      <c r="P7" s="138">
        <f t="shared" si="3"/>
        <v>4.8411193265496998E-2</v>
      </c>
    </row>
    <row r="8" spans="1:16" ht="24" customHeight="1" thickBot="1">
      <c r="A8" s="160" t="s">
        <v>24</v>
      </c>
      <c r="B8" s="161">
        <f>'UD TF'!F8</f>
        <v>0.58632319289692592</v>
      </c>
      <c r="C8" s="162">
        <f>'UD TV'!H8</f>
        <v>403.64251854666315</v>
      </c>
      <c r="E8" s="130">
        <v>0.56217559618869251</v>
      </c>
      <c r="F8" s="130">
        <v>381.56255929983985</v>
      </c>
      <c r="H8" s="76">
        <f t="shared" si="0"/>
        <v>2.414759670823341E-2</v>
      </c>
      <c r="I8" s="77">
        <f t="shared" si="0"/>
        <v>22.079959246823307</v>
      </c>
      <c r="K8" s="78">
        <f t="shared" si="4"/>
        <v>100</v>
      </c>
      <c r="L8" s="114">
        <v>0.05</v>
      </c>
      <c r="M8" s="64">
        <f t="shared" si="1"/>
        <v>482.45696376368892</v>
      </c>
      <c r="N8" s="64">
        <f t="shared" si="5"/>
        <v>459.66912486464457</v>
      </c>
      <c r="O8" s="79">
        <f t="shared" si="2"/>
        <v>22.787838899044345</v>
      </c>
      <c r="P8" s="138">
        <f t="shared" si="3"/>
        <v>4.9574438800418702E-2</v>
      </c>
    </row>
    <row r="9" spans="1:16" ht="15.75" customHeight="1"/>
  </sheetData>
  <mergeCells count="3">
    <mergeCell ref="A1:C1"/>
    <mergeCell ref="E1:F1"/>
    <mergeCell ref="K1:O1"/>
  </mergeCells>
  <phoneticPr fontId="0" type="noConversion"/>
  <pageMargins left="0.11811023622047245" right="7.874015748031496E-2" top="0.98425196850393704" bottom="0.98425196850393704" header="0.51181102362204722" footer="0.51181102362204722"/>
  <pageSetup paperSize="9" scale="83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S25"/>
  <sheetViews>
    <sheetView workbookViewId="0">
      <selection activeCell="S5" sqref="S5:S25"/>
    </sheetView>
  </sheetViews>
  <sheetFormatPr defaultRowHeight="12.75"/>
  <cols>
    <col min="1" max="1" width="1.28515625" style="23" customWidth="1"/>
    <col min="2" max="2" width="4.5703125" style="23" customWidth="1"/>
    <col min="3" max="3" width="43.28515625" style="23" customWidth="1"/>
    <col min="4" max="4" width="8" style="23" customWidth="1"/>
    <col min="5" max="5" width="9.140625" style="23"/>
    <col min="6" max="6" width="8.42578125" style="23" customWidth="1"/>
    <col min="7" max="7" width="9" style="23" customWidth="1"/>
    <col min="8" max="8" width="8.42578125" style="23" customWidth="1"/>
    <col min="9" max="9" width="6.7109375" style="23" bestFit="1" customWidth="1"/>
    <col min="10" max="10" width="12.140625" style="23" bestFit="1" customWidth="1"/>
    <col min="11" max="11" width="1.5703125" style="23" customWidth="1"/>
    <col min="12" max="13" width="8.140625" style="23" customWidth="1"/>
    <col min="14" max="14" width="9.42578125" style="23" customWidth="1"/>
    <col min="15" max="15" width="8.85546875" style="23" customWidth="1"/>
    <col min="16" max="18" width="9.140625" style="23" customWidth="1"/>
    <col min="19" max="255" width="9.140625" style="23"/>
    <col min="256" max="256" width="9.140625" style="23" customWidth="1"/>
    <col min="257" max="257" width="9.140625" style="23"/>
    <col min="258" max="258" width="11.7109375" style="23" customWidth="1"/>
    <col min="259" max="511" width="9.140625" style="23"/>
    <col min="512" max="512" width="9.140625" style="23" customWidth="1"/>
    <col min="513" max="513" width="9.140625" style="23"/>
    <col min="514" max="514" width="11.7109375" style="23" customWidth="1"/>
    <col min="515" max="767" width="9.140625" style="23"/>
    <col min="768" max="768" width="9.140625" style="23" customWidth="1"/>
    <col min="769" max="769" width="9.140625" style="23"/>
    <col min="770" max="770" width="11.7109375" style="23" customWidth="1"/>
    <col min="771" max="1023" width="9.140625" style="23"/>
    <col min="1024" max="1024" width="9.140625" style="23" customWidth="1"/>
    <col min="1025" max="1025" width="9.140625" style="23"/>
    <col min="1026" max="1026" width="11.7109375" style="23" customWidth="1"/>
    <col min="1027" max="1279" width="9.140625" style="23"/>
    <col min="1280" max="1280" width="9.140625" style="23" customWidth="1"/>
    <col min="1281" max="1281" width="9.140625" style="23"/>
    <col min="1282" max="1282" width="11.7109375" style="23" customWidth="1"/>
    <col min="1283" max="1535" width="9.140625" style="23"/>
    <col min="1536" max="1536" width="9.140625" style="23" customWidth="1"/>
    <col min="1537" max="1537" width="9.140625" style="23"/>
    <col min="1538" max="1538" width="11.7109375" style="23" customWidth="1"/>
    <col min="1539" max="1791" width="9.140625" style="23"/>
    <col min="1792" max="1792" width="9.140625" style="23" customWidth="1"/>
    <col min="1793" max="1793" width="9.140625" style="23"/>
    <col min="1794" max="1794" width="11.7109375" style="23" customWidth="1"/>
    <col min="1795" max="2047" width="9.140625" style="23"/>
    <col min="2048" max="2048" width="9.140625" style="23" customWidth="1"/>
    <col min="2049" max="2049" width="9.140625" style="23"/>
    <col min="2050" max="2050" width="11.7109375" style="23" customWidth="1"/>
    <col min="2051" max="2303" width="9.140625" style="23"/>
    <col min="2304" max="2304" width="9.140625" style="23" customWidth="1"/>
    <col min="2305" max="2305" width="9.140625" style="23"/>
    <col min="2306" max="2306" width="11.7109375" style="23" customWidth="1"/>
    <col min="2307" max="2559" width="9.140625" style="23"/>
    <col min="2560" max="2560" width="9.140625" style="23" customWidth="1"/>
    <col min="2561" max="2561" width="9.140625" style="23"/>
    <col min="2562" max="2562" width="11.7109375" style="23" customWidth="1"/>
    <col min="2563" max="2815" width="9.140625" style="23"/>
    <col min="2816" max="2816" width="9.140625" style="23" customWidth="1"/>
    <col min="2817" max="2817" width="9.140625" style="23"/>
    <col min="2818" max="2818" width="11.7109375" style="23" customWidth="1"/>
    <col min="2819" max="3071" width="9.140625" style="23"/>
    <col min="3072" max="3072" width="9.140625" style="23" customWidth="1"/>
    <col min="3073" max="3073" width="9.140625" style="23"/>
    <col min="3074" max="3074" width="11.7109375" style="23" customWidth="1"/>
    <col min="3075" max="3327" width="9.140625" style="23"/>
    <col min="3328" max="3328" width="9.140625" style="23" customWidth="1"/>
    <col min="3329" max="3329" width="9.140625" style="23"/>
    <col min="3330" max="3330" width="11.7109375" style="23" customWidth="1"/>
    <col min="3331" max="3583" width="9.140625" style="23"/>
    <col min="3584" max="3584" width="9.140625" style="23" customWidth="1"/>
    <col min="3585" max="3585" width="9.140625" style="23"/>
    <col min="3586" max="3586" width="11.7109375" style="23" customWidth="1"/>
    <col min="3587" max="3839" width="9.140625" style="23"/>
    <col min="3840" max="3840" width="9.140625" style="23" customWidth="1"/>
    <col min="3841" max="3841" width="9.140625" style="23"/>
    <col min="3842" max="3842" width="11.7109375" style="23" customWidth="1"/>
    <col min="3843" max="4095" width="9.140625" style="23"/>
    <col min="4096" max="4096" width="9.140625" style="23" customWidth="1"/>
    <col min="4097" max="4097" width="9.140625" style="23"/>
    <col min="4098" max="4098" width="11.7109375" style="23" customWidth="1"/>
    <col min="4099" max="4351" width="9.140625" style="23"/>
    <col min="4352" max="4352" width="9.140625" style="23" customWidth="1"/>
    <col min="4353" max="4353" width="9.140625" style="23"/>
    <col min="4354" max="4354" width="11.7109375" style="23" customWidth="1"/>
    <col min="4355" max="4607" width="9.140625" style="23"/>
    <col min="4608" max="4608" width="9.140625" style="23" customWidth="1"/>
    <col min="4609" max="4609" width="9.140625" style="23"/>
    <col min="4610" max="4610" width="11.7109375" style="23" customWidth="1"/>
    <col min="4611" max="4863" width="9.140625" style="23"/>
    <col min="4864" max="4864" width="9.140625" style="23" customWidth="1"/>
    <col min="4865" max="4865" width="9.140625" style="23"/>
    <col min="4866" max="4866" width="11.7109375" style="23" customWidth="1"/>
    <col min="4867" max="5119" width="9.140625" style="23"/>
    <col min="5120" max="5120" width="9.140625" style="23" customWidth="1"/>
    <col min="5121" max="5121" width="9.140625" style="23"/>
    <col min="5122" max="5122" width="11.7109375" style="23" customWidth="1"/>
    <col min="5123" max="5375" width="9.140625" style="23"/>
    <col min="5376" max="5376" width="9.140625" style="23" customWidth="1"/>
    <col min="5377" max="5377" width="9.140625" style="23"/>
    <col min="5378" max="5378" width="11.7109375" style="23" customWidth="1"/>
    <col min="5379" max="5631" width="9.140625" style="23"/>
    <col min="5632" max="5632" width="9.140625" style="23" customWidth="1"/>
    <col min="5633" max="5633" width="9.140625" style="23"/>
    <col min="5634" max="5634" width="11.7109375" style="23" customWidth="1"/>
    <col min="5635" max="5887" width="9.140625" style="23"/>
    <col min="5888" max="5888" width="9.140625" style="23" customWidth="1"/>
    <col min="5889" max="5889" width="9.140625" style="23"/>
    <col min="5890" max="5890" width="11.7109375" style="23" customWidth="1"/>
    <col min="5891" max="6143" width="9.140625" style="23"/>
    <col min="6144" max="6144" width="9.140625" style="23" customWidth="1"/>
    <col min="6145" max="6145" width="9.140625" style="23"/>
    <col min="6146" max="6146" width="11.7109375" style="23" customWidth="1"/>
    <col min="6147" max="6399" width="9.140625" style="23"/>
    <col min="6400" max="6400" width="9.140625" style="23" customWidth="1"/>
    <col min="6401" max="6401" width="9.140625" style="23"/>
    <col min="6402" max="6402" width="11.7109375" style="23" customWidth="1"/>
    <col min="6403" max="6655" width="9.140625" style="23"/>
    <col min="6656" max="6656" width="9.140625" style="23" customWidth="1"/>
    <col min="6657" max="6657" width="9.140625" style="23"/>
    <col min="6658" max="6658" width="11.7109375" style="23" customWidth="1"/>
    <col min="6659" max="6911" width="9.140625" style="23"/>
    <col min="6912" max="6912" width="9.140625" style="23" customWidth="1"/>
    <col min="6913" max="6913" width="9.140625" style="23"/>
    <col min="6914" max="6914" width="11.7109375" style="23" customWidth="1"/>
    <col min="6915" max="7167" width="9.140625" style="23"/>
    <col min="7168" max="7168" width="9.140625" style="23" customWidth="1"/>
    <col min="7169" max="7169" width="9.140625" style="23"/>
    <col min="7170" max="7170" width="11.7109375" style="23" customWidth="1"/>
    <col min="7171" max="7423" width="9.140625" style="23"/>
    <col min="7424" max="7424" width="9.140625" style="23" customWidth="1"/>
    <col min="7425" max="7425" width="9.140625" style="23"/>
    <col min="7426" max="7426" width="11.7109375" style="23" customWidth="1"/>
    <col min="7427" max="7679" width="9.140625" style="23"/>
    <col min="7680" max="7680" width="9.140625" style="23" customWidth="1"/>
    <col min="7681" max="7681" width="9.140625" style="23"/>
    <col min="7682" max="7682" width="11.7109375" style="23" customWidth="1"/>
    <col min="7683" max="7935" width="9.140625" style="23"/>
    <col min="7936" max="7936" width="9.140625" style="23" customWidth="1"/>
    <col min="7937" max="7937" width="9.140625" style="23"/>
    <col min="7938" max="7938" width="11.7109375" style="23" customWidth="1"/>
    <col min="7939" max="8191" width="9.140625" style="23"/>
    <col min="8192" max="8192" width="9.140625" style="23" customWidth="1"/>
    <col min="8193" max="8193" width="9.140625" style="23"/>
    <col min="8194" max="8194" width="11.7109375" style="23" customWidth="1"/>
    <col min="8195" max="8447" width="9.140625" style="23"/>
    <col min="8448" max="8448" width="9.140625" style="23" customWidth="1"/>
    <col min="8449" max="8449" width="9.140625" style="23"/>
    <col min="8450" max="8450" width="11.7109375" style="23" customWidth="1"/>
    <col min="8451" max="8703" width="9.140625" style="23"/>
    <col min="8704" max="8704" width="9.140625" style="23" customWidth="1"/>
    <col min="8705" max="8705" width="9.140625" style="23"/>
    <col min="8706" max="8706" width="11.7109375" style="23" customWidth="1"/>
    <col min="8707" max="8959" width="9.140625" style="23"/>
    <col min="8960" max="8960" width="9.140625" style="23" customWidth="1"/>
    <col min="8961" max="8961" width="9.140625" style="23"/>
    <col min="8962" max="8962" width="11.7109375" style="23" customWidth="1"/>
    <col min="8963" max="9215" width="9.140625" style="23"/>
    <col min="9216" max="9216" width="9.140625" style="23" customWidth="1"/>
    <col min="9217" max="9217" width="9.140625" style="23"/>
    <col min="9218" max="9218" width="11.7109375" style="23" customWidth="1"/>
    <col min="9219" max="9471" width="9.140625" style="23"/>
    <col min="9472" max="9472" width="9.140625" style="23" customWidth="1"/>
    <col min="9473" max="9473" width="9.140625" style="23"/>
    <col min="9474" max="9474" width="11.7109375" style="23" customWidth="1"/>
    <col min="9475" max="9727" width="9.140625" style="23"/>
    <col min="9728" max="9728" width="9.140625" style="23" customWidth="1"/>
    <col min="9729" max="9729" width="9.140625" style="23"/>
    <col min="9730" max="9730" width="11.7109375" style="23" customWidth="1"/>
    <col min="9731" max="9983" width="9.140625" style="23"/>
    <col min="9984" max="9984" width="9.140625" style="23" customWidth="1"/>
    <col min="9985" max="9985" width="9.140625" style="23"/>
    <col min="9986" max="9986" width="11.7109375" style="23" customWidth="1"/>
    <col min="9987" max="10239" width="9.140625" style="23"/>
    <col min="10240" max="10240" width="9.140625" style="23" customWidth="1"/>
    <col min="10241" max="10241" width="9.140625" style="23"/>
    <col min="10242" max="10242" width="11.7109375" style="23" customWidth="1"/>
    <col min="10243" max="10495" width="9.140625" style="23"/>
    <col min="10496" max="10496" width="9.140625" style="23" customWidth="1"/>
    <col min="10497" max="10497" width="9.140625" style="23"/>
    <col min="10498" max="10498" width="11.7109375" style="23" customWidth="1"/>
    <col min="10499" max="10751" width="9.140625" style="23"/>
    <col min="10752" max="10752" width="9.140625" style="23" customWidth="1"/>
    <col min="10753" max="10753" width="9.140625" style="23"/>
    <col min="10754" max="10754" width="11.7109375" style="23" customWidth="1"/>
    <col min="10755" max="11007" width="9.140625" style="23"/>
    <col min="11008" max="11008" width="9.140625" style="23" customWidth="1"/>
    <col min="11009" max="11009" width="9.140625" style="23"/>
    <col min="11010" max="11010" width="11.7109375" style="23" customWidth="1"/>
    <col min="11011" max="11263" width="9.140625" style="23"/>
    <col min="11264" max="11264" width="9.140625" style="23" customWidth="1"/>
    <col min="11265" max="11265" width="9.140625" style="23"/>
    <col min="11266" max="11266" width="11.7109375" style="23" customWidth="1"/>
    <col min="11267" max="11519" width="9.140625" style="23"/>
    <col min="11520" max="11520" width="9.140625" style="23" customWidth="1"/>
    <col min="11521" max="11521" width="9.140625" style="23"/>
    <col min="11522" max="11522" width="11.7109375" style="23" customWidth="1"/>
    <col min="11523" max="11775" width="9.140625" style="23"/>
    <col min="11776" max="11776" width="9.140625" style="23" customWidth="1"/>
    <col min="11777" max="11777" width="9.140625" style="23"/>
    <col min="11778" max="11778" width="11.7109375" style="23" customWidth="1"/>
    <col min="11779" max="12031" width="9.140625" style="23"/>
    <col min="12032" max="12032" width="9.140625" style="23" customWidth="1"/>
    <col min="12033" max="12033" width="9.140625" style="23"/>
    <col min="12034" max="12034" width="11.7109375" style="23" customWidth="1"/>
    <col min="12035" max="12287" width="9.140625" style="23"/>
    <col min="12288" max="12288" width="9.140625" style="23" customWidth="1"/>
    <col min="12289" max="12289" width="9.140625" style="23"/>
    <col min="12290" max="12290" width="11.7109375" style="23" customWidth="1"/>
    <col min="12291" max="12543" width="9.140625" style="23"/>
    <col min="12544" max="12544" width="9.140625" style="23" customWidth="1"/>
    <col min="12545" max="12545" width="9.140625" style="23"/>
    <col min="12546" max="12546" width="11.7109375" style="23" customWidth="1"/>
    <col min="12547" max="12799" width="9.140625" style="23"/>
    <col min="12800" max="12800" width="9.140625" style="23" customWidth="1"/>
    <col min="12801" max="12801" width="9.140625" style="23"/>
    <col min="12802" max="12802" width="11.7109375" style="23" customWidth="1"/>
    <col min="12803" max="13055" width="9.140625" style="23"/>
    <col min="13056" max="13056" width="9.140625" style="23" customWidth="1"/>
    <col min="13057" max="13057" width="9.140625" style="23"/>
    <col min="13058" max="13058" width="11.7109375" style="23" customWidth="1"/>
    <col min="13059" max="13311" width="9.140625" style="23"/>
    <col min="13312" max="13312" width="9.140625" style="23" customWidth="1"/>
    <col min="13313" max="13313" width="9.140625" style="23"/>
    <col min="13314" max="13314" width="11.7109375" style="23" customWidth="1"/>
    <col min="13315" max="13567" width="9.140625" style="23"/>
    <col min="13568" max="13568" width="9.140625" style="23" customWidth="1"/>
    <col min="13569" max="13569" width="9.140625" style="23"/>
    <col min="13570" max="13570" width="11.7109375" style="23" customWidth="1"/>
    <col min="13571" max="13823" width="9.140625" style="23"/>
    <col min="13824" max="13824" width="9.140625" style="23" customWidth="1"/>
    <col min="13825" max="13825" width="9.140625" style="23"/>
    <col min="13826" max="13826" width="11.7109375" style="23" customWidth="1"/>
    <col min="13827" max="14079" width="9.140625" style="23"/>
    <col min="14080" max="14080" width="9.140625" style="23" customWidth="1"/>
    <col min="14081" max="14081" width="9.140625" style="23"/>
    <col min="14082" max="14082" width="11.7109375" style="23" customWidth="1"/>
    <col min="14083" max="14335" width="9.140625" style="23"/>
    <col min="14336" max="14336" width="9.140625" style="23" customWidth="1"/>
    <col min="14337" max="14337" width="9.140625" style="23"/>
    <col min="14338" max="14338" width="11.7109375" style="23" customWidth="1"/>
    <col min="14339" max="14591" width="9.140625" style="23"/>
    <col min="14592" max="14592" width="9.140625" style="23" customWidth="1"/>
    <col min="14593" max="14593" width="9.140625" style="23"/>
    <col min="14594" max="14594" width="11.7109375" style="23" customWidth="1"/>
    <col min="14595" max="14847" width="9.140625" style="23"/>
    <col min="14848" max="14848" width="9.140625" style="23" customWidth="1"/>
    <col min="14849" max="14849" width="9.140625" style="23"/>
    <col min="14850" max="14850" width="11.7109375" style="23" customWidth="1"/>
    <col min="14851" max="15103" width="9.140625" style="23"/>
    <col min="15104" max="15104" width="9.140625" style="23" customWidth="1"/>
    <col min="15105" max="15105" width="9.140625" style="23"/>
    <col min="15106" max="15106" width="11.7109375" style="23" customWidth="1"/>
    <col min="15107" max="15359" width="9.140625" style="23"/>
    <col min="15360" max="15360" width="9.140625" style="23" customWidth="1"/>
    <col min="15361" max="15361" width="9.140625" style="23"/>
    <col min="15362" max="15362" width="11.7109375" style="23" customWidth="1"/>
    <col min="15363" max="15615" width="9.140625" style="23"/>
    <col min="15616" max="15616" width="9.140625" style="23" customWidth="1"/>
    <col min="15617" max="15617" width="9.140625" style="23"/>
    <col min="15618" max="15618" width="11.7109375" style="23" customWidth="1"/>
    <col min="15619" max="15871" width="9.140625" style="23"/>
    <col min="15872" max="15872" width="9.140625" style="23" customWidth="1"/>
    <col min="15873" max="15873" width="9.140625" style="23"/>
    <col min="15874" max="15874" width="11.7109375" style="23" customWidth="1"/>
    <col min="15875" max="16127" width="9.140625" style="23"/>
    <col min="16128" max="16128" width="9.140625" style="23" customWidth="1"/>
    <col min="16129" max="16129" width="9.140625" style="23"/>
    <col min="16130" max="16130" width="11.7109375" style="23" customWidth="1"/>
    <col min="16131" max="16384" width="9.140625" style="23"/>
  </cols>
  <sheetData>
    <row r="1" spans="2:19" ht="26.25">
      <c r="B1" s="190" t="s">
        <v>85</v>
      </c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  <c r="S1" s="190"/>
    </row>
    <row r="2" spans="2:19" ht="18" customHeight="1">
      <c r="B2" s="201" t="s">
        <v>127</v>
      </c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  <c r="R2" s="201"/>
      <c r="S2" s="201"/>
    </row>
    <row r="3" spans="2:19" ht="27" thickBot="1">
      <c r="B3" s="200" t="s">
        <v>132</v>
      </c>
      <c r="C3" s="200"/>
      <c r="D3" s="200"/>
      <c r="E3" s="200"/>
      <c r="F3" s="200"/>
      <c r="G3" s="200"/>
      <c r="H3" s="200"/>
      <c r="I3" s="200"/>
      <c r="J3" s="200"/>
      <c r="L3" s="200" t="s">
        <v>133</v>
      </c>
      <c r="M3" s="200"/>
      <c r="N3" s="200"/>
      <c r="O3" s="200"/>
      <c r="P3" s="200"/>
      <c r="Q3" s="200"/>
      <c r="R3" s="200"/>
      <c r="S3" s="200"/>
    </row>
    <row r="4" spans="2:19" ht="32.25" thickBot="1">
      <c r="B4" s="81" t="s">
        <v>91</v>
      </c>
      <c r="C4" s="83" t="s">
        <v>92</v>
      </c>
      <c r="D4" s="26" t="s">
        <v>93</v>
      </c>
      <c r="E4" s="26" t="s">
        <v>94</v>
      </c>
      <c r="F4" s="85" t="s">
        <v>129</v>
      </c>
      <c r="G4" s="85" t="s">
        <v>128</v>
      </c>
      <c r="H4" s="26" t="s">
        <v>157</v>
      </c>
      <c r="I4" s="82" t="s">
        <v>96</v>
      </c>
      <c r="J4" s="26" t="s">
        <v>95</v>
      </c>
      <c r="L4" s="26" t="s">
        <v>97</v>
      </c>
      <c r="M4" s="26" t="s">
        <v>98</v>
      </c>
      <c r="N4" s="85" t="s">
        <v>130</v>
      </c>
      <c r="O4" s="85" t="s">
        <v>131</v>
      </c>
      <c r="P4" s="26" t="s">
        <v>157</v>
      </c>
      <c r="Q4" s="82" t="s">
        <v>156</v>
      </c>
      <c r="R4" s="82" t="s">
        <v>96</v>
      </c>
      <c r="S4" s="26" t="s">
        <v>99</v>
      </c>
    </row>
    <row r="5" spans="2:19" s="112" customFormat="1" ht="30" customHeight="1">
      <c r="B5" s="109">
        <v>1</v>
      </c>
      <c r="C5" s="110" t="s">
        <v>56</v>
      </c>
      <c r="D5" s="28">
        <v>0.28999999999999998</v>
      </c>
      <c r="E5" s="28">
        <v>0.52</v>
      </c>
      <c r="F5" s="53">
        <f>D5/2</f>
        <v>0.14499999999999999</v>
      </c>
      <c r="G5" s="53">
        <f>E5*1.5</f>
        <v>0.78</v>
      </c>
      <c r="H5" s="53">
        <f>(D5+E5)/2</f>
        <v>0.40500000000000003</v>
      </c>
      <c r="I5" s="144" t="s">
        <v>168</v>
      </c>
      <c r="J5" s="84">
        <f>IF(I5="min",D5,IF(I5="max",E5,IF(I5="med",H5)))</f>
        <v>0.52</v>
      </c>
      <c r="K5" s="111"/>
      <c r="L5" s="28">
        <v>2.54</v>
      </c>
      <c r="M5" s="28">
        <v>4.55</v>
      </c>
      <c r="N5" s="53">
        <f>L5/2</f>
        <v>1.27</v>
      </c>
      <c r="O5" s="53">
        <f>M5*1.5</f>
        <v>6.8249999999999993</v>
      </c>
      <c r="P5" s="53">
        <f>(L5+M5)/2</f>
        <v>3.5449999999999999</v>
      </c>
      <c r="Q5" s="145">
        <v>6.83</v>
      </c>
      <c r="R5" s="144" t="s">
        <v>156</v>
      </c>
      <c r="S5" s="84">
        <f>IF(R5="min",L5,IF(R5="max",M5,IF(R5="med",P5,IF(R5="ad hoc",Q5))))</f>
        <v>6.83</v>
      </c>
    </row>
    <row r="6" spans="2:19" s="112" customFormat="1" ht="30">
      <c r="B6" s="109">
        <v>2</v>
      </c>
      <c r="C6" s="110" t="s">
        <v>100</v>
      </c>
      <c r="D6" s="28">
        <v>0.44</v>
      </c>
      <c r="E6" s="28">
        <v>0.74</v>
      </c>
      <c r="F6" s="53">
        <f t="shared" ref="F6:F25" si="0">D6/2</f>
        <v>0.22</v>
      </c>
      <c r="G6" s="53">
        <f>E6*1.5</f>
        <v>1.1099999999999999</v>
      </c>
      <c r="H6" s="53">
        <f t="shared" ref="H6:H25" si="1">(D6+E6)/2</f>
        <v>0.59</v>
      </c>
      <c r="I6" s="144" t="s">
        <v>168</v>
      </c>
      <c r="J6" s="84">
        <f t="shared" ref="J6:J25" si="2">IF(I6="min",D6,IF(I6="max",E6,IF(I6="med",H6)))</f>
        <v>0.74</v>
      </c>
      <c r="K6" s="111"/>
      <c r="L6" s="28">
        <v>3.83</v>
      </c>
      <c r="M6" s="28">
        <v>6.5</v>
      </c>
      <c r="N6" s="53">
        <f t="shared" ref="N6:N25" si="3">L6/2</f>
        <v>1.915</v>
      </c>
      <c r="O6" s="53">
        <f t="shared" ref="O6:O25" si="4">M6*1.5</f>
        <v>9.75</v>
      </c>
      <c r="P6" s="53">
        <f t="shared" ref="P6:P25" si="5">(L6+M6)/2</f>
        <v>5.165</v>
      </c>
      <c r="Q6" s="145">
        <v>7</v>
      </c>
      <c r="R6" s="144" t="s">
        <v>156</v>
      </c>
      <c r="S6" s="84">
        <f t="shared" ref="S6:S25" si="6">IF(R6="min",L6,IF(R6="max",M6,IF(R6="med",P6,IF(R6="ad hoc",Q6))))</f>
        <v>7</v>
      </c>
    </row>
    <row r="7" spans="2:19" s="112" customFormat="1" ht="15">
      <c r="B7" s="109">
        <v>3</v>
      </c>
      <c r="C7" s="110" t="s">
        <v>58</v>
      </c>
      <c r="D7" s="28">
        <v>0.66</v>
      </c>
      <c r="E7" s="28">
        <v>0.75</v>
      </c>
      <c r="F7" s="53">
        <f t="shared" si="0"/>
        <v>0.33</v>
      </c>
      <c r="G7" s="53">
        <f t="shared" ref="G7:G25" si="7">E7*1.5</f>
        <v>1.125</v>
      </c>
      <c r="H7" s="53">
        <f t="shared" si="1"/>
        <v>0.70500000000000007</v>
      </c>
      <c r="I7" s="144" t="s">
        <v>168</v>
      </c>
      <c r="J7" s="84">
        <f t="shared" si="2"/>
        <v>0.75</v>
      </c>
      <c r="K7" s="111"/>
      <c r="L7" s="28">
        <v>5.8</v>
      </c>
      <c r="M7" s="28">
        <v>6.64</v>
      </c>
      <c r="N7" s="53">
        <f t="shared" si="3"/>
        <v>2.9</v>
      </c>
      <c r="O7" s="53">
        <f t="shared" si="4"/>
        <v>9.9599999999999991</v>
      </c>
      <c r="P7" s="53">
        <f t="shared" si="5"/>
        <v>6.22</v>
      </c>
      <c r="Q7" s="145">
        <v>7</v>
      </c>
      <c r="R7" s="144" t="s">
        <v>156</v>
      </c>
      <c r="S7" s="84">
        <f t="shared" si="6"/>
        <v>7</v>
      </c>
    </row>
    <row r="8" spans="2:19" s="112" customFormat="1" ht="15">
      <c r="B8" s="109">
        <v>4</v>
      </c>
      <c r="C8" s="110" t="s">
        <v>59</v>
      </c>
      <c r="D8" s="28">
        <v>0.34</v>
      </c>
      <c r="E8" s="28">
        <v>0.52</v>
      </c>
      <c r="F8" s="53">
        <f t="shared" si="0"/>
        <v>0.17</v>
      </c>
      <c r="G8" s="53">
        <f t="shared" si="7"/>
        <v>0.78</v>
      </c>
      <c r="H8" s="53">
        <f t="shared" si="1"/>
        <v>0.43000000000000005</v>
      </c>
      <c r="I8" s="144" t="s">
        <v>168</v>
      </c>
      <c r="J8" s="84">
        <f t="shared" si="2"/>
        <v>0.52</v>
      </c>
      <c r="K8" s="111"/>
      <c r="L8" s="28">
        <v>2.97</v>
      </c>
      <c r="M8" s="28">
        <v>4.55</v>
      </c>
      <c r="N8" s="53">
        <f t="shared" si="3"/>
        <v>1.4850000000000001</v>
      </c>
      <c r="O8" s="53">
        <f t="shared" si="4"/>
        <v>6.8249999999999993</v>
      </c>
      <c r="P8" s="53">
        <f t="shared" si="5"/>
        <v>3.76</v>
      </c>
      <c r="Q8" s="145">
        <v>5</v>
      </c>
      <c r="R8" s="144" t="s">
        <v>156</v>
      </c>
      <c r="S8" s="84">
        <f t="shared" si="6"/>
        <v>5</v>
      </c>
    </row>
    <row r="9" spans="2:19" s="112" customFormat="1" ht="15">
      <c r="B9" s="109">
        <v>5</v>
      </c>
      <c r="C9" s="110" t="s">
        <v>60</v>
      </c>
      <c r="D9" s="28">
        <v>1.01</v>
      </c>
      <c r="E9" s="28">
        <v>1.55</v>
      </c>
      <c r="F9" s="53">
        <f t="shared" si="0"/>
        <v>0.505</v>
      </c>
      <c r="G9" s="53">
        <f t="shared" si="7"/>
        <v>2.3250000000000002</v>
      </c>
      <c r="H9" s="53">
        <f t="shared" si="1"/>
        <v>1.28</v>
      </c>
      <c r="I9" s="144" t="s">
        <v>168</v>
      </c>
      <c r="J9" s="84">
        <f t="shared" si="2"/>
        <v>1.55</v>
      </c>
      <c r="K9" s="111"/>
      <c r="L9" s="28">
        <v>8.91</v>
      </c>
      <c r="M9" s="28">
        <v>13.64</v>
      </c>
      <c r="N9" s="53">
        <f t="shared" si="3"/>
        <v>4.4550000000000001</v>
      </c>
      <c r="O9" s="53">
        <f t="shared" si="4"/>
        <v>20.46</v>
      </c>
      <c r="P9" s="53">
        <f t="shared" si="5"/>
        <v>11.275</v>
      </c>
      <c r="Q9" s="145">
        <v>14</v>
      </c>
      <c r="R9" s="144" t="s">
        <v>156</v>
      </c>
      <c r="S9" s="84">
        <f t="shared" si="6"/>
        <v>14</v>
      </c>
    </row>
    <row r="10" spans="2:19" s="112" customFormat="1" ht="15">
      <c r="B10" s="109">
        <v>6</v>
      </c>
      <c r="C10" s="110" t="s">
        <v>61</v>
      </c>
      <c r="D10" s="28">
        <v>0.85</v>
      </c>
      <c r="E10" s="28">
        <v>0.99</v>
      </c>
      <c r="F10" s="53">
        <f t="shared" si="0"/>
        <v>0.42499999999999999</v>
      </c>
      <c r="G10" s="53">
        <f t="shared" si="7"/>
        <v>1.4849999999999999</v>
      </c>
      <c r="H10" s="53">
        <f t="shared" si="1"/>
        <v>0.91999999999999993</v>
      </c>
      <c r="I10" s="144" t="s">
        <v>168</v>
      </c>
      <c r="J10" s="84">
        <f t="shared" si="2"/>
        <v>0.99</v>
      </c>
      <c r="K10" s="111"/>
      <c r="L10" s="28">
        <v>7.51</v>
      </c>
      <c r="M10" s="28">
        <v>8.6999999999999993</v>
      </c>
      <c r="N10" s="53">
        <f t="shared" si="3"/>
        <v>3.7549999999999999</v>
      </c>
      <c r="O10" s="53">
        <f t="shared" si="4"/>
        <v>13.049999999999999</v>
      </c>
      <c r="P10" s="53">
        <f t="shared" si="5"/>
        <v>8.1050000000000004</v>
      </c>
      <c r="Q10" s="145">
        <v>9</v>
      </c>
      <c r="R10" s="144" t="s">
        <v>156</v>
      </c>
      <c r="S10" s="84">
        <f t="shared" si="6"/>
        <v>9</v>
      </c>
    </row>
    <row r="11" spans="2:19" s="112" customFormat="1" ht="15">
      <c r="B11" s="109">
        <v>7</v>
      </c>
      <c r="C11" s="110" t="s">
        <v>62</v>
      </c>
      <c r="D11" s="28">
        <v>0.89</v>
      </c>
      <c r="E11" s="28">
        <v>1.2</v>
      </c>
      <c r="F11" s="53">
        <f t="shared" si="0"/>
        <v>0.44500000000000001</v>
      </c>
      <c r="G11" s="53">
        <f t="shared" si="7"/>
        <v>1.7999999999999998</v>
      </c>
      <c r="H11" s="53">
        <f t="shared" si="1"/>
        <v>1.0449999999999999</v>
      </c>
      <c r="I11" s="144" t="s">
        <v>168</v>
      </c>
      <c r="J11" s="84">
        <f t="shared" si="2"/>
        <v>1.2</v>
      </c>
      <c r="K11" s="111"/>
      <c r="L11" s="28">
        <v>7.8</v>
      </c>
      <c r="M11" s="28">
        <v>10.54</v>
      </c>
      <c r="N11" s="53">
        <f t="shared" si="3"/>
        <v>3.9</v>
      </c>
      <c r="O11" s="53">
        <f t="shared" si="4"/>
        <v>15.809999999999999</v>
      </c>
      <c r="P11" s="53">
        <f t="shared" si="5"/>
        <v>9.17</v>
      </c>
      <c r="Q11" s="145">
        <v>11</v>
      </c>
      <c r="R11" s="144" t="s">
        <v>156</v>
      </c>
      <c r="S11" s="84">
        <f t="shared" si="6"/>
        <v>11</v>
      </c>
    </row>
    <row r="12" spans="2:19" s="112" customFormat="1" ht="15">
      <c r="B12" s="109">
        <v>8</v>
      </c>
      <c r="C12" s="110" t="s">
        <v>63</v>
      </c>
      <c r="D12" s="28">
        <v>0.9</v>
      </c>
      <c r="E12" s="28">
        <v>1.05</v>
      </c>
      <c r="F12" s="53">
        <f t="shared" si="0"/>
        <v>0.45</v>
      </c>
      <c r="G12" s="53">
        <f t="shared" si="7"/>
        <v>1.5750000000000002</v>
      </c>
      <c r="H12" s="53">
        <f t="shared" si="1"/>
        <v>0.97500000000000009</v>
      </c>
      <c r="I12" s="144" t="s">
        <v>168</v>
      </c>
      <c r="J12" s="84">
        <f t="shared" si="2"/>
        <v>1.05</v>
      </c>
      <c r="K12" s="111"/>
      <c r="L12" s="28">
        <v>7.89</v>
      </c>
      <c r="M12" s="28">
        <v>9.26</v>
      </c>
      <c r="N12" s="53">
        <f t="shared" si="3"/>
        <v>3.9449999999999998</v>
      </c>
      <c r="O12" s="53">
        <f t="shared" si="4"/>
        <v>13.89</v>
      </c>
      <c r="P12" s="53">
        <f t="shared" si="5"/>
        <v>8.5749999999999993</v>
      </c>
      <c r="Q12" s="145">
        <v>10.5</v>
      </c>
      <c r="R12" s="144" t="s">
        <v>156</v>
      </c>
      <c r="S12" s="84">
        <f t="shared" si="6"/>
        <v>10.5</v>
      </c>
    </row>
    <row r="13" spans="2:19" s="112" customFormat="1" ht="15">
      <c r="B13" s="109">
        <v>9</v>
      </c>
      <c r="C13" s="110" t="s">
        <v>64</v>
      </c>
      <c r="D13" s="28">
        <v>0.44</v>
      </c>
      <c r="E13" s="28">
        <v>0.63</v>
      </c>
      <c r="F13" s="53">
        <f t="shared" si="0"/>
        <v>0.22</v>
      </c>
      <c r="G13" s="53">
        <f t="shared" si="7"/>
        <v>0.94500000000000006</v>
      </c>
      <c r="H13" s="53">
        <f t="shared" si="1"/>
        <v>0.53500000000000003</v>
      </c>
      <c r="I13" s="144" t="s">
        <v>168</v>
      </c>
      <c r="J13" s="84">
        <f t="shared" si="2"/>
        <v>0.63</v>
      </c>
      <c r="K13" s="111"/>
      <c r="L13" s="28">
        <v>3.9</v>
      </c>
      <c r="M13" s="28">
        <v>5.51</v>
      </c>
      <c r="N13" s="53">
        <f t="shared" si="3"/>
        <v>1.95</v>
      </c>
      <c r="O13" s="53">
        <f t="shared" si="4"/>
        <v>8.2650000000000006</v>
      </c>
      <c r="P13" s="53">
        <f t="shared" si="5"/>
        <v>4.7050000000000001</v>
      </c>
      <c r="Q13" s="145">
        <v>9</v>
      </c>
      <c r="R13" s="144" t="s">
        <v>156</v>
      </c>
      <c r="S13" s="84">
        <f t="shared" si="6"/>
        <v>9</v>
      </c>
    </row>
    <row r="14" spans="2:19" s="112" customFormat="1" ht="30">
      <c r="B14" s="109">
        <v>10</v>
      </c>
      <c r="C14" s="110" t="s">
        <v>101</v>
      </c>
      <c r="D14" s="28">
        <v>0.94</v>
      </c>
      <c r="E14" s="28">
        <v>1.1599999999999999</v>
      </c>
      <c r="F14" s="53">
        <f t="shared" si="0"/>
        <v>0.47</v>
      </c>
      <c r="G14" s="53">
        <f t="shared" si="7"/>
        <v>1.7399999999999998</v>
      </c>
      <c r="H14" s="53">
        <f t="shared" si="1"/>
        <v>1.0499999999999998</v>
      </c>
      <c r="I14" s="144" t="s">
        <v>168</v>
      </c>
      <c r="J14" s="84">
        <f t="shared" si="2"/>
        <v>1.1599999999999999</v>
      </c>
      <c r="K14" s="111"/>
      <c r="L14" s="28">
        <v>8.24</v>
      </c>
      <c r="M14" s="28">
        <v>10.210000000000001</v>
      </c>
      <c r="N14" s="53">
        <f t="shared" si="3"/>
        <v>4.12</v>
      </c>
      <c r="O14" s="53">
        <f t="shared" si="4"/>
        <v>15.315000000000001</v>
      </c>
      <c r="P14" s="53">
        <f t="shared" si="5"/>
        <v>9.2250000000000014</v>
      </c>
      <c r="Q14" s="145">
        <v>12.5</v>
      </c>
      <c r="R14" s="144" t="s">
        <v>156</v>
      </c>
      <c r="S14" s="84">
        <f t="shared" si="6"/>
        <v>12.5</v>
      </c>
    </row>
    <row r="15" spans="2:19" s="112" customFormat="1" ht="15">
      <c r="B15" s="109">
        <v>11</v>
      </c>
      <c r="C15" s="110" t="s">
        <v>66</v>
      </c>
      <c r="D15" s="28">
        <v>1.02</v>
      </c>
      <c r="E15" s="28">
        <v>1.52</v>
      </c>
      <c r="F15" s="53">
        <f t="shared" si="0"/>
        <v>0.51</v>
      </c>
      <c r="G15" s="53">
        <f t="shared" si="7"/>
        <v>2.2800000000000002</v>
      </c>
      <c r="H15" s="53">
        <f t="shared" si="1"/>
        <v>1.27</v>
      </c>
      <c r="I15" s="144" t="s">
        <v>168</v>
      </c>
      <c r="J15" s="84">
        <f t="shared" si="2"/>
        <v>1.52</v>
      </c>
      <c r="K15" s="111"/>
      <c r="L15" s="28">
        <v>8.98</v>
      </c>
      <c r="M15" s="28">
        <v>13.34</v>
      </c>
      <c r="N15" s="53">
        <f t="shared" si="3"/>
        <v>4.49</v>
      </c>
      <c r="O15" s="53">
        <f t="shared" si="4"/>
        <v>20.009999999999998</v>
      </c>
      <c r="P15" s="53">
        <f t="shared" si="5"/>
        <v>11.16</v>
      </c>
      <c r="Q15" s="145">
        <v>15</v>
      </c>
      <c r="R15" s="144" t="s">
        <v>156</v>
      </c>
      <c r="S15" s="84">
        <f t="shared" si="6"/>
        <v>15</v>
      </c>
    </row>
    <row r="16" spans="2:19" s="112" customFormat="1" ht="30">
      <c r="B16" s="109">
        <v>12</v>
      </c>
      <c r="C16" s="113" t="s">
        <v>102</v>
      </c>
      <c r="D16" s="28">
        <v>0.78</v>
      </c>
      <c r="E16" s="28">
        <v>1.06</v>
      </c>
      <c r="F16" s="53">
        <f t="shared" si="0"/>
        <v>0.39</v>
      </c>
      <c r="G16" s="53">
        <f t="shared" si="7"/>
        <v>1.59</v>
      </c>
      <c r="H16" s="53">
        <f t="shared" si="1"/>
        <v>0.92</v>
      </c>
      <c r="I16" s="144" t="s">
        <v>168</v>
      </c>
      <c r="J16" s="84">
        <f t="shared" si="2"/>
        <v>1.06</v>
      </c>
      <c r="K16" s="111"/>
      <c r="L16" s="28">
        <v>6.85</v>
      </c>
      <c r="M16" s="28">
        <v>9.34</v>
      </c>
      <c r="N16" s="53">
        <f t="shared" si="3"/>
        <v>3.4249999999999998</v>
      </c>
      <c r="O16" s="53">
        <f t="shared" si="4"/>
        <v>14.01</v>
      </c>
      <c r="P16" s="53">
        <f t="shared" si="5"/>
        <v>8.0949999999999989</v>
      </c>
      <c r="Q16" s="145">
        <v>12.2</v>
      </c>
      <c r="R16" s="144" t="s">
        <v>156</v>
      </c>
      <c r="S16" s="84">
        <f t="shared" si="6"/>
        <v>12.2</v>
      </c>
    </row>
    <row r="17" spans="2:19" s="112" customFormat="1" ht="15">
      <c r="B17" s="109">
        <v>13</v>
      </c>
      <c r="C17" s="113" t="s">
        <v>68</v>
      </c>
      <c r="D17" s="28">
        <v>0.91</v>
      </c>
      <c r="E17" s="28">
        <v>1.45</v>
      </c>
      <c r="F17" s="53">
        <f t="shared" si="0"/>
        <v>0.45500000000000002</v>
      </c>
      <c r="G17" s="53">
        <f t="shared" si="7"/>
        <v>2.1749999999999998</v>
      </c>
      <c r="H17" s="53">
        <f t="shared" si="1"/>
        <v>1.18</v>
      </c>
      <c r="I17" s="144" t="s">
        <v>168</v>
      </c>
      <c r="J17" s="84">
        <f t="shared" si="2"/>
        <v>1.45</v>
      </c>
      <c r="K17" s="111"/>
      <c r="L17" s="28">
        <v>7.98</v>
      </c>
      <c r="M17" s="28">
        <v>12.75</v>
      </c>
      <c r="N17" s="53">
        <f t="shared" si="3"/>
        <v>3.99</v>
      </c>
      <c r="O17" s="53">
        <f t="shared" si="4"/>
        <v>19.125</v>
      </c>
      <c r="P17" s="53">
        <f t="shared" si="5"/>
        <v>10.365</v>
      </c>
      <c r="Q17" s="145"/>
      <c r="R17" s="144" t="s">
        <v>168</v>
      </c>
      <c r="S17" s="84">
        <f t="shared" si="6"/>
        <v>12.75</v>
      </c>
    </row>
    <row r="18" spans="2:19" s="112" customFormat="1" ht="15">
      <c r="B18" s="109">
        <v>14</v>
      </c>
      <c r="C18" s="113" t="s">
        <v>69</v>
      </c>
      <c r="D18" s="28">
        <v>0.41</v>
      </c>
      <c r="E18" s="28">
        <v>0.86</v>
      </c>
      <c r="F18" s="53">
        <f t="shared" si="0"/>
        <v>0.20499999999999999</v>
      </c>
      <c r="G18" s="53">
        <f t="shared" si="7"/>
        <v>1.29</v>
      </c>
      <c r="H18" s="53">
        <f t="shared" si="1"/>
        <v>0.63500000000000001</v>
      </c>
      <c r="I18" s="144" t="s">
        <v>168</v>
      </c>
      <c r="J18" s="84">
        <f t="shared" si="2"/>
        <v>0.86</v>
      </c>
      <c r="K18" s="111"/>
      <c r="L18" s="28">
        <v>3.62</v>
      </c>
      <c r="M18" s="28">
        <v>7.53</v>
      </c>
      <c r="N18" s="53">
        <f t="shared" si="3"/>
        <v>1.81</v>
      </c>
      <c r="O18" s="53">
        <f t="shared" si="4"/>
        <v>11.295</v>
      </c>
      <c r="P18" s="53">
        <f t="shared" si="5"/>
        <v>5.5750000000000002</v>
      </c>
      <c r="Q18" s="145"/>
      <c r="R18" s="144" t="s">
        <v>168</v>
      </c>
      <c r="S18" s="84">
        <f t="shared" si="6"/>
        <v>7.53</v>
      </c>
    </row>
    <row r="19" spans="2:19" s="112" customFormat="1" ht="15">
      <c r="B19" s="109">
        <v>15</v>
      </c>
      <c r="C19" s="113" t="s">
        <v>70</v>
      </c>
      <c r="D19" s="28">
        <v>0.67</v>
      </c>
      <c r="E19" s="28">
        <v>0.95</v>
      </c>
      <c r="F19" s="53">
        <f t="shared" si="0"/>
        <v>0.33500000000000002</v>
      </c>
      <c r="G19" s="53">
        <f t="shared" si="7"/>
        <v>1.4249999999999998</v>
      </c>
      <c r="H19" s="53">
        <f t="shared" si="1"/>
        <v>0.81</v>
      </c>
      <c r="I19" s="144" t="s">
        <v>168</v>
      </c>
      <c r="J19" s="84">
        <f t="shared" si="2"/>
        <v>0.95</v>
      </c>
      <c r="K19" s="111"/>
      <c r="L19" s="28">
        <v>5.91</v>
      </c>
      <c r="M19" s="28">
        <v>8.34</v>
      </c>
      <c r="N19" s="53">
        <f t="shared" si="3"/>
        <v>2.9550000000000001</v>
      </c>
      <c r="O19" s="53">
        <f t="shared" si="4"/>
        <v>12.51</v>
      </c>
      <c r="P19" s="53">
        <f t="shared" si="5"/>
        <v>7.125</v>
      </c>
      <c r="Q19" s="145">
        <v>9</v>
      </c>
      <c r="R19" s="144" t="s">
        <v>156</v>
      </c>
      <c r="S19" s="84">
        <f t="shared" si="6"/>
        <v>9</v>
      </c>
    </row>
    <row r="20" spans="2:19" s="112" customFormat="1" ht="30">
      <c r="B20" s="109">
        <v>16</v>
      </c>
      <c r="C20" s="113" t="s">
        <v>103</v>
      </c>
      <c r="D20" s="28">
        <v>5.54</v>
      </c>
      <c r="E20" s="28">
        <v>8.18</v>
      </c>
      <c r="F20" s="53">
        <f t="shared" si="0"/>
        <v>2.77</v>
      </c>
      <c r="G20" s="53">
        <f t="shared" si="7"/>
        <v>12.27</v>
      </c>
      <c r="H20" s="53">
        <f t="shared" si="1"/>
        <v>6.8599999999999994</v>
      </c>
      <c r="I20" s="144" t="s">
        <v>168</v>
      </c>
      <c r="J20" s="84">
        <f t="shared" si="2"/>
        <v>8.18</v>
      </c>
      <c r="K20" s="111"/>
      <c r="L20" s="28">
        <v>48.74</v>
      </c>
      <c r="M20" s="28">
        <v>71.989999999999995</v>
      </c>
      <c r="N20" s="53">
        <f t="shared" si="3"/>
        <v>24.37</v>
      </c>
      <c r="O20" s="53">
        <f t="shared" si="4"/>
        <v>107.98499999999999</v>
      </c>
      <c r="P20" s="53">
        <f t="shared" si="5"/>
        <v>60.364999999999995</v>
      </c>
      <c r="Q20" s="145">
        <v>78</v>
      </c>
      <c r="R20" s="144" t="s">
        <v>156</v>
      </c>
      <c r="S20" s="84">
        <f t="shared" si="6"/>
        <v>78</v>
      </c>
    </row>
    <row r="21" spans="2:19" s="112" customFormat="1" ht="15">
      <c r="B21" s="109">
        <v>17</v>
      </c>
      <c r="C21" s="113" t="s">
        <v>72</v>
      </c>
      <c r="D21" s="28">
        <v>4.38</v>
      </c>
      <c r="E21" s="28">
        <v>6.32</v>
      </c>
      <c r="F21" s="53">
        <f t="shared" si="0"/>
        <v>2.19</v>
      </c>
      <c r="G21" s="53">
        <f t="shared" si="7"/>
        <v>9.48</v>
      </c>
      <c r="H21" s="53">
        <f t="shared" si="1"/>
        <v>5.35</v>
      </c>
      <c r="I21" s="144" t="s">
        <v>155</v>
      </c>
      <c r="J21" s="84">
        <f t="shared" si="2"/>
        <v>4.38</v>
      </c>
      <c r="K21" s="111"/>
      <c r="L21" s="28">
        <v>38.5</v>
      </c>
      <c r="M21" s="28">
        <v>55.61</v>
      </c>
      <c r="N21" s="53">
        <f t="shared" si="3"/>
        <v>19.25</v>
      </c>
      <c r="O21" s="53">
        <f t="shared" si="4"/>
        <v>83.414999999999992</v>
      </c>
      <c r="P21" s="53">
        <f t="shared" si="5"/>
        <v>47.055</v>
      </c>
      <c r="Q21" s="145">
        <v>39</v>
      </c>
      <c r="R21" s="144" t="s">
        <v>155</v>
      </c>
      <c r="S21" s="84">
        <f t="shared" si="6"/>
        <v>38.5</v>
      </c>
    </row>
    <row r="22" spans="2:19" s="112" customFormat="1" ht="30">
      <c r="B22" s="109">
        <v>18</v>
      </c>
      <c r="C22" s="113" t="s">
        <v>73</v>
      </c>
      <c r="D22" s="28">
        <v>0.56999999999999995</v>
      </c>
      <c r="E22" s="28">
        <v>2.8</v>
      </c>
      <c r="F22" s="53">
        <f t="shared" si="0"/>
        <v>0.28499999999999998</v>
      </c>
      <c r="G22" s="53">
        <f t="shared" si="7"/>
        <v>4.1999999999999993</v>
      </c>
      <c r="H22" s="53">
        <f t="shared" si="1"/>
        <v>1.6849999999999998</v>
      </c>
      <c r="I22" s="144" t="s">
        <v>168</v>
      </c>
      <c r="J22" s="84">
        <f t="shared" si="2"/>
        <v>2.8</v>
      </c>
      <c r="K22" s="111"/>
      <c r="L22" s="28">
        <v>5</v>
      </c>
      <c r="M22" s="28">
        <v>24.68</v>
      </c>
      <c r="N22" s="53">
        <f t="shared" si="3"/>
        <v>2.5</v>
      </c>
      <c r="O22" s="53">
        <f t="shared" si="4"/>
        <v>37.019999999999996</v>
      </c>
      <c r="P22" s="53">
        <f t="shared" si="5"/>
        <v>14.84</v>
      </c>
      <c r="Q22" s="145">
        <v>12.2</v>
      </c>
      <c r="R22" s="144" t="s">
        <v>156</v>
      </c>
      <c r="S22" s="84">
        <f t="shared" si="6"/>
        <v>12.2</v>
      </c>
    </row>
    <row r="23" spans="2:19" s="112" customFormat="1" ht="15">
      <c r="B23" s="109">
        <v>19</v>
      </c>
      <c r="C23" s="113" t="s">
        <v>104</v>
      </c>
      <c r="D23" s="28">
        <v>2.14</v>
      </c>
      <c r="E23" s="28">
        <v>3.02</v>
      </c>
      <c r="F23" s="53">
        <f t="shared" si="0"/>
        <v>1.07</v>
      </c>
      <c r="G23" s="53">
        <f t="shared" si="7"/>
        <v>4.53</v>
      </c>
      <c r="H23" s="53">
        <f t="shared" si="1"/>
        <v>2.58</v>
      </c>
      <c r="I23" s="144" t="s">
        <v>168</v>
      </c>
      <c r="J23" s="84">
        <f t="shared" si="2"/>
        <v>3.02</v>
      </c>
      <c r="K23" s="111"/>
      <c r="L23" s="28">
        <v>18.8</v>
      </c>
      <c r="M23" s="28">
        <v>26.55</v>
      </c>
      <c r="N23" s="53">
        <f t="shared" si="3"/>
        <v>9.4</v>
      </c>
      <c r="O23" s="53">
        <f t="shared" si="4"/>
        <v>39.825000000000003</v>
      </c>
      <c r="P23" s="53">
        <f t="shared" si="5"/>
        <v>22.675000000000001</v>
      </c>
      <c r="Q23" s="145">
        <v>30</v>
      </c>
      <c r="R23" s="144" t="s">
        <v>156</v>
      </c>
      <c r="S23" s="84">
        <f t="shared" si="6"/>
        <v>30</v>
      </c>
    </row>
    <row r="24" spans="2:19" s="112" customFormat="1" ht="15">
      <c r="B24" s="109">
        <v>20</v>
      </c>
      <c r="C24" s="113" t="s">
        <v>75</v>
      </c>
      <c r="D24" s="28">
        <v>0.34</v>
      </c>
      <c r="E24" s="28">
        <v>10.88</v>
      </c>
      <c r="F24" s="53">
        <f t="shared" si="0"/>
        <v>0.17</v>
      </c>
      <c r="G24" s="53">
        <f t="shared" si="7"/>
        <v>16.32</v>
      </c>
      <c r="H24" s="53">
        <f t="shared" si="1"/>
        <v>5.61</v>
      </c>
      <c r="I24" s="144" t="s">
        <v>168</v>
      </c>
      <c r="J24" s="84">
        <f t="shared" si="2"/>
        <v>10.88</v>
      </c>
      <c r="K24" s="111"/>
      <c r="L24" s="28">
        <v>3</v>
      </c>
      <c r="M24" s="28">
        <v>95.75</v>
      </c>
      <c r="N24" s="53">
        <f t="shared" si="3"/>
        <v>1.5</v>
      </c>
      <c r="O24" s="53">
        <f t="shared" si="4"/>
        <v>143.625</v>
      </c>
      <c r="P24" s="53">
        <f t="shared" si="5"/>
        <v>49.375</v>
      </c>
      <c r="Q24" s="145">
        <v>54</v>
      </c>
      <c r="R24" s="144" t="s">
        <v>156</v>
      </c>
      <c r="S24" s="84">
        <f t="shared" si="6"/>
        <v>54</v>
      </c>
    </row>
    <row r="25" spans="2:19" s="112" customFormat="1" ht="15">
      <c r="B25" s="109">
        <v>21</v>
      </c>
      <c r="C25" s="113" t="s">
        <v>105</v>
      </c>
      <c r="D25" s="28">
        <v>1.02</v>
      </c>
      <c r="E25" s="28">
        <v>1.75</v>
      </c>
      <c r="F25" s="53">
        <f t="shared" si="0"/>
        <v>0.51</v>
      </c>
      <c r="G25" s="53">
        <f t="shared" si="7"/>
        <v>2.625</v>
      </c>
      <c r="H25" s="53">
        <f t="shared" si="1"/>
        <v>1.385</v>
      </c>
      <c r="I25" s="144" t="s">
        <v>168</v>
      </c>
      <c r="J25" s="84">
        <f t="shared" si="2"/>
        <v>1.75</v>
      </c>
      <c r="K25" s="111"/>
      <c r="L25" s="28">
        <v>8.9499999999999993</v>
      </c>
      <c r="M25" s="28">
        <v>15.43</v>
      </c>
      <c r="N25" s="53">
        <f t="shared" si="3"/>
        <v>4.4749999999999996</v>
      </c>
      <c r="O25" s="53">
        <f t="shared" si="4"/>
        <v>23.145</v>
      </c>
      <c r="P25" s="53">
        <f t="shared" si="5"/>
        <v>12.19</v>
      </c>
      <c r="Q25" s="145">
        <v>10.5</v>
      </c>
      <c r="R25" s="144" t="s">
        <v>168</v>
      </c>
      <c r="S25" s="84">
        <f t="shared" si="6"/>
        <v>15.43</v>
      </c>
    </row>
  </sheetData>
  <mergeCells count="4">
    <mergeCell ref="B1:S1"/>
    <mergeCell ref="L3:S3"/>
    <mergeCell ref="B3:J3"/>
    <mergeCell ref="B2:S2"/>
  </mergeCells>
  <pageMargins left="0.11811023622047245" right="0.11811023622047245" top="0.74803149606299213" bottom="0.74803149606299213" header="0.31496062992125984" footer="0.31496062992125984"/>
  <pageSetup paperSize="9" scale="8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28"/>
  <sheetViews>
    <sheetView zoomScaleNormal="100" workbookViewId="0">
      <selection activeCell="G2" sqref="G2"/>
    </sheetView>
  </sheetViews>
  <sheetFormatPr defaultColWidth="9.140625" defaultRowHeight="15"/>
  <cols>
    <col min="1" max="1" width="4.42578125" style="60" customWidth="1"/>
    <col min="2" max="2" width="44" style="6" customWidth="1"/>
    <col min="3" max="3" width="8.42578125" style="95" customWidth="1"/>
    <col min="4" max="4" width="10.5703125" style="95" customWidth="1"/>
    <col min="5" max="5" width="12.7109375" style="6" customWidth="1"/>
    <col min="6" max="6" width="9.42578125" style="6" bestFit="1" customWidth="1"/>
    <col min="7" max="7" width="12.28515625" style="6" customWidth="1"/>
    <col min="8" max="8" width="10.5703125" style="6" customWidth="1"/>
    <col min="9" max="11" width="9.140625" style="6"/>
    <col min="12" max="12" width="9.28515625" style="6" bestFit="1" customWidth="1"/>
    <col min="13" max="16384" width="9.140625" style="6"/>
  </cols>
  <sheetData>
    <row r="1" spans="1:12" ht="29.25" customHeight="1" thickBot="1">
      <c r="A1" s="195" t="s">
        <v>134</v>
      </c>
      <c r="B1" s="195"/>
      <c r="C1" s="195"/>
      <c r="D1" s="195"/>
      <c r="E1" s="195"/>
      <c r="F1" s="195"/>
      <c r="G1" s="195"/>
      <c r="H1" s="195"/>
    </row>
    <row r="2" spans="1:12" s="7" customFormat="1" ht="40.5" customHeight="1">
      <c r="A2" s="75" t="s">
        <v>37</v>
      </c>
      <c r="B2" s="75" t="s">
        <v>38</v>
      </c>
      <c r="C2" s="75" t="s">
        <v>39</v>
      </c>
      <c r="D2" s="75" t="s">
        <v>40</v>
      </c>
      <c r="E2" s="75" t="s">
        <v>106</v>
      </c>
      <c r="F2" s="86" t="s">
        <v>42</v>
      </c>
      <c r="G2" s="87" t="s">
        <v>182</v>
      </c>
      <c r="H2" s="88" t="s">
        <v>41</v>
      </c>
    </row>
    <row r="3" spans="1:12" ht="20.25" customHeight="1">
      <c r="A3" s="89">
        <v>1</v>
      </c>
      <c r="B3" s="90" t="s">
        <v>0</v>
      </c>
      <c r="C3" s="89">
        <f>'Produzione rifiuti teorica'!$C8</f>
        <v>3</v>
      </c>
      <c r="D3" s="96">
        <f>'Produzione rifiuti teorica'!$D8</f>
        <v>188</v>
      </c>
      <c r="E3" s="64">
        <f>'UND Scelta Coefficienti'!$J5</f>
        <v>0.52</v>
      </c>
      <c r="F3" s="68">
        <f>B28</f>
        <v>0.28803237689658645</v>
      </c>
      <c r="G3" s="91">
        <f>(F3*E3)</f>
        <v>0.14977683598622496</v>
      </c>
      <c r="H3" s="92">
        <f>(G3*D3)</f>
        <v>28.158045165410293</v>
      </c>
      <c r="L3" s="13"/>
    </row>
    <row r="4" spans="1:12" ht="15.75" customHeight="1">
      <c r="A4" s="89">
        <v>2</v>
      </c>
      <c r="B4" s="90" t="s">
        <v>1</v>
      </c>
      <c r="C4" s="89">
        <f>'Produzione rifiuti teorica'!$C9</f>
        <v>0</v>
      </c>
      <c r="D4" s="96">
        <f>'Produzione rifiuti teorica'!$D9</f>
        <v>0</v>
      </c>
      <c r="E4" s="64">
        <f>'UND Scelta Coefficienti'!$J6</f>
        <v>0.74</v>
      </c>
      <c r="F4" s="68">
        <f>B28</f>
        <v>0.28803237689658645</v>
      </c>
      <c r="G4" s="21">
        <f t="shared" ref="G4:G23" si="0">(F4*E4)</f>
        <v>0.21314395890347398</v>
      </c>
      <c r="H4" s="92">
        <f t="shared" ref="H4:H23" si="1">(G4*D4)</f>
        <v>0</v>
      </c>
      <c r="L4" s="13"/>
    </row>
    <row r="5" spans="1:12">
      <c r="A5" s="89">
        <v>3</v>
      </c>
      <c r="B5" s="90" t="s">
        <v>2</v>
      </c>
      <c r="C5" s="89">
        <f>'Produzione rifiuti teorica'!$C10</f>
        <v>0</v>
      </c>
      <c r="D5" s="96">
        <f>'Produzione rifiuti teorica'!$D10</f>
        <v>0</v>
      </c>
      <c r="E5" s="64">
        <f>'UND Scelta Coefficienti'!$J7</f>
        <v>0.75</v>
      </c>
      <c r="F5" s="68">
        <f>B28</f>
        <v>0.28803237689658645</v>
      </c>
      <c r="G5" s="21">
        <f t="shared" si="0"/>
        <v>0.21602428267243984</v>
      </c>
      <c r="H5" s="92">
        <f t="shared" si="1"/>
        <v>0</v>
      </c>
      <c r="L5" s="13"/>
    </row>
    <row r="6" spans="1:12">
      <c r="A6" s="89">
        <v>4</v>
      </c>
      <c r="B6" s="90" t="s">
        <v>3</v>
      </c>
      <c r="C6" s="89">
        <f>'Produzione rifiuti teorica'!$C11</f>
        <v>0</v>
      </c>
      <c r="D6" s="96">
        <f>'Produzione rifiuti teorica'!$D11</f>
        <v>0</v>
      </c>
      <c r="E6" s="64">
        <f>'UND Scelta Coefficienti'!$J8</f>
        <v>0.52</v>
      </c>
      <c r="F6" s="68">
        <f>B28</f>
        <v>0.28803237689658645</v>
      </c>
      <c r="G6" s="21">
        <f t="shared" si="0"/>
        <v>0.14977683598622496</v>
      </c>
      <c r="H6" s="92">
        <f t="shared" si="1"/>
        <v>0</v>
      </c>
      <c r="L6" s="13"/>
    </row>
    <row r="7" spans="1:12">
      <c r="A7" s="89">
        <v>5</v>
      </c>
      <c r="B7" s="90" t="s">
        <v>4</v>
      </c>
      <c r="C7" s="89">
        <f>'Produzione rifiuti teorica'!$C12</f>
        <v>0</v>
      </c>
      <c r="D7" s="96">
        <f>'Produzione rifiuti teorica'!$D12</f>
        <v>0</v>
      </c>
      <c r="E7" s="64">
        <f>'UND Scelta Coefficienti'!$J9</f>
        <v>1.55</v>
      </c>
      <c r="F7" s="68">
        <f>B28</f>
        <v>0.28803237689658645</v>
      </c>
      <c r="G7" s="21">
        <f t="shared" si="0"/>
        <v>0.446450184189709</v>
      </c>
      <c r="H7" s="92">
        <f t="shared" si="1"/>
        <v>0</v>
      </c>
      <c r="L7" s="13"/>
    </row>
    <row r="8" spans="1:12">
      <c r="A8" s="89">
        <v>6</v>
      </c>
      <c r="B8" s="90" t="s">
        <v>5</v>
      </c>
      <c r="C8" s="89">
        <f>'Produzione rifiuti teorica'!$C13</f>
        <v>0</v>
      </c>
      <c r="D8" s="96">
        <f>'Produzione rifiuti teorica'!$D13</f>
        <v>0</v>
      </c>
      <c r="E8" s="64">
        <f>'UND Scelta Coefficienti'!$J10</f>
        <v>0.99</v>
      </c>
      <c r="F8" s="68">
        <f>B28</f>
        <v>0.28803237689658645</v>
      </c>
      <c r="G8" s="21">
        <f t="shared" si="0"/>
        <v>0.2851520531276206</v>
      </c>
      <c r="H8" s="92">
        <f t="shared" si="1"/>
        <v>0</v>
      </c>
      <c r="L8" s="13"/>
    </row>
    <row r="9" spans="1:12">
      <c r="A9" s="89">
        <v>7</v>
      </c>
      <c r="B9" s="90" t="s">
        <v>6</v>
      </c>
      <c r="C9" s="89">
        <f>'Produzione rifiuti teorica'!$C14</f>
        <v>0</v>
      </c>
      <c r="D9" s="96">
        <f>'Produzione rifiuti teorica'!$D14</f>
        <v>0</v>
      </c>
      <c r="E9" s="64">
        <f>'UND Scelta Coefficienti'!$J11</f>
        <v>1.2</v>
      </c>
      <c r="F9" s="68">
        <f>B28</f>
        <v>0.28803237689658645</v>
      </c>
      <c r="G9" s="21">
        <f t="shared" si="0"/>
        <v>0.34563885227590374</v>
      </c>
      <c r="H9" s="92">
        <f t="shared" si="1"/>
        <v>0</v>
      </c>
      <c r="L9" s="13"/>
    </row>
    <row r="10" spans="1:12">
      <c r="A10" s="89">
        <v>8</v>
      </c>
      <c r="B10" s="90" t="s">
        <v>140</v>
      </c>
      <c r="C10" s="89">
        <f>'Produzione rifiuti teorica'!$C15</f>
        <v>5</v>
      </c>
      <c r="D10" s="96">
        <f>'Produzione rifiuti teorica'!$D15</f>
        <v>312</v>
      </c>
      <c r="E10" s="64">
        <f>'UND Scelta Coefficienti'!$J12</f>
        <v>1.05</v>
      </c>
      <c r="F10" s="68">
        <f>B28</f>
        <v>0.28803237689658645</v>
      </c>
      <c r="G10" s="21">
        <f t="shared" si="0"/>
        <v>0.30243399574141577</v>
      </c>
      <c r="H10" s="92">
        <f t="shared" si="1"/>
        <v>94.359406671321722</v>
      </c>
      <c r="L10" s="13"/>
    </row>
    <row r="11" spans="1:12" ht="15.75" customHeight="1">
      <c r="A11" s="89">
        <v>9</v>
      </c>
      <c r="B11" s="90" t="s">
        <v>139</v>
      </c>
      <c r="C11" s="89">
        <f>'Produzione rifiuti teorica'!$C16</f>
        <v>0</v>
      </c>
      <c r="D11" s="96">
        <f>'Produzione rifiuti teorica'!$D16</f>
        <v>0</v>
      </c>
      <c r="E11" s="64">
        <f>'UND Scelta Coefficienti'!$J13</f>
        <v>0.63</v>
      </c>
      <c r="F11" s="68">
        <f>B28</f>
        <v>0.28803237689658645</v>
      </c>
      <c r="G11" s="21">
        <f t="shared" si="0"/>
        <v>0.18146039744484946</v>
      </c>
      <c r="H11" s="92">
        <f t="shared" si="1"/>
        <v>0</v>
      </c>
      <c r="L11" s="13"/>
    </row>
    <row r="12" spans="1:12" ht="30.75" customHeight="1">
      <c r="A12" s="89">
        <v>10</v>
      </c>
      <c r="B12" s="90" t="s">
        <v>9</v>
      </c>
      <c r="C12" s="89">
        <f>'Produzione rifiuti teorica'!$C17</f>
        <v>1</v>
      </c>
      <c r="D12" s="96">
        <f>'Produzione rifiuti teorica'!$D17</f>
        <v>176</v>
      </c>
      <c r="E12" s="64">
        <f>'UND Scelta Coefficienti'!$J14</f>
        <v>1.1599999999999999</v>
      </c>
      <c r="F12" s="68">
        <f>B28</f>
        <v>0.28803237689658645</v>
      </c>
      <c r="G12" s="21">
        <f t="shared" si="0"/>
        <v>0.33411755720004027</v>
      </c>
      <c r="H12" s="92">
        <f t="shared" si="1"/>
        <v>58.80469006720709</v>
      </c>
      <c r="L12" s="13"/>
    </row>
    <row r="13" spans="1:12">
      <c r="A13" s="89">
        <v>11</v>
      </c>
      <c r="B13" s="90" t="s">
        <v>10</v>
      </c>
      <c r="C13" s="89">
        <f>'Produzione rifiuti teorica'!$C18</f>
        <v>2</v>
      </c>
      <c r="D13" s="96">
        <f>'Produzione rifiuti teorica'!$D18</f>
        <v>141</v>
      </c>
      <c r="E13" s="64">
        <f>'UND Scelta Coefficienti'!$J15</f>
        <v>1.52</v>
      </c>
      <c r="F13" s="68">
        <f>B28</f>
        <v>0.28803237689658645</v>
      </c>
      <c r="G13" s="21">
        <f t="shared" si="0"/>
        <v>0.43780921288281138</v>
      </c>
      <c r="H13" s="92">
        <f t="shared" si="1"/>
        <v>61.731099016476406</v>
      </c>
      <c r="L13" s="13"/>
    </row>
    <row r="14" spans="1:12" ht="29.25" customHeight="1">
      <c r="A14" s="89">
        <v>12</v>
      </c>
      <c r="B14" s="90" t="s">
        <v>82</v>
      </c>
      <c r="C14" s="89">
        <f>'Produzione rifiuti teorica'!$C19</f>
        <v>5</v>
      </c>
      <c r="D14" s="96">
        <f>'Produzione rifiuti teorica'!$D19</f>
        <v>380</v>
      </c>
      <c r="E14" s="64">
        <f>'UND Scelta Coefficienti'!$J16</f>
        <v>1.06</v>
      </c>
      <c r="F14" s="68">
        <f>B28</f>
        <v>0.28803237689658645</v>
      </c>
      <c r="G14" s="21">
        <f t="shared" si="0"/>
        <v>0.30531431951038163</v>
      </c>
      <c r="H14" s="92">
        <f t="shared" si="1"/>
        <v>116.01944141394502</v>
      </c>
      <c r="L14" s="13"/>
    </row>
    <row r="15" spans="1:12">
      <c r="A15" s="89">
        <v>13</v>
      </c>
      <c r="B15" s="90" t="s">
        <v>11</v>
      </c>
      <c r="C15" s="89">
        <f>'Produzione rifiuti teorica'!$C20</f>
        <v>2</v>
      </c>
      <c r="D15" s="96">
        <f>'Produzione rifiuti teorica'!$D20</f>
        <v>605</v>
      </c>
      <c r="E15" s="64">
        <f>'UND Scelta Coefficienti'!$J17</f>
        <v>1.45</v>
      </c>
      <c r="F15" s="68">
        <f>B28</f>
        <v>0.28803237689658645</v>
      </c>
      <c r="G15" s="21">
        <f t="shared" si="0"/>
        <v>0.41764694650005035</v>
      </c>
      <c r="H15" s="92">
        <f t="shared" si="1"/>
        <v>252.67640263253045</v>
      </c>
      <c r="L15" s="13"/>
    </row>
    <row r="16" spans="1:12" ht="16.5" customHeight="1">
      <c r="A16" s="89">
        <v>14</v>
      </c>
      <c r="B16" s="90" t="s">
        <v>12</v>
      </c>
      <c r="C16" s="89">
        <f>'Produzione rifiuti teorica'!$C21</f>
        <v>0</v>
      </c>
      <c r="D16" s="96">
        <f>'Produzione rifiuti teorica'!$D21</f>
        <v>0</v>
      </c>
      <c r="E16" s="64">
        <f>'UND Scelta Coefficienti'!$J18</f>
        <v>0.86</v>
      </c>
      <c r="F16" s="68">
        <f>B28</f>
        <v>0.28803237689658645</v>
      </c>
      <c r="G16" s="21">
        <f t="shared" si="0"/>
        <v>0.24770784413106434</v>
      </c>
      <c r="H16" s="92">
        <f t="shared" si="1"/>
        <v>0</v>
      </c>
      <c r="L16" s="13"/>
    </row>
    <row r="17" spans="1:12" ht="18" customHeight="1">
      <c r="A17" s="89">
        <v>15</v>
      </c>
      <c r="B17" s="90" t="s">
        <v>83</v>
      </c>
      <c r="C17" s="89">
        <f>'Produzione rifiuti teorica'!$C22</f>
        <v>3</v>
      </c>
      <c r="D17" s="96">
        <f>'Produzione rifiuti teorica'!$D22</f>
        <v>801</v>
      </c>
      <c r="E17" s="64">
        <f>'UND Scelta Coefficienti'!$J19</f>
        <v>0.95</v>
      </c>
      <c r="F17" s="68">
        <f>B28</f>
        <v>0.28803237689658645</v>
      </c>
      <c r="G17" s="21">
        <f t="shared" si="0"/>
        <v>0.27363075805175713</v>
      </c>
      <c r="H17" s="92">
        <f t="shared" si="1"/>
        <v>219.17823719945747</v>
      </c>
      <c r="L17" s="13"/>
    </row>
    <row r="18" spans="1:12" ht="17.25" customHeight="1">
      <c r="A18" s="89">
        <v>16</v>
      </c>
      <c r="B18" s="90" t="s">
        <v>13</v>
      </c>
      <c r="C18" s="89">
        <f>'Produzione rifiuti teorica'!$C23</f>
        <v>0</v>
      </c>
      <c r="D18" s="96">
        <f>'Produzione rifiuti teorica'!$D23</f>
        <v>0</v>
      </c>
      <c r="E18" s="64">
        <f>'UND Scelta Coefficienti'!$J20</f>
        <v>8.18</v>
      </c>
      <c r="F18" s="68">
        <f>B28</f>
        <v>0.28803237689658645</v>
      </c>
      <c r="G18" s="21">
        <f t="shared" si="0"/>
        <v>2.356104843014077</v>
      </c>
      <c r="H18" s="92">
        <f t="shared" si="1"/>
        <v>0</v>
      </c>
      <c r="L18" s="13"/>
    </row>
    <row r="19" spans="1:12">
      <c r="A19" s="89">
        <v>17</v>
      </c>
      <c r="B19" s="90" t="s">
        <v>14</v>
      </c>
      <c r="C19" s="89">
        <f>'Produzione rifiuti teorica'!$C24</f>
        <v>3</v>
      </c>
      <c r="D19" s="96">
        <f>'Produzione rifiuti teorica'!$D24</f>
        <v>214</v>
      </c>
      <c r="E19" s="64">
        <f>'UND Scelta Coefficienti'!$J21</f>
        <v>4.38</v>
      </c>
      <c r="F19" s="68">
        <f>B28</f>
        <v>0.28803237689658645</v>
      </c>
      <c r="G19" s="21">
        <f t="shared" si="0"/>
        <v>1.2615818108070487</v>
      </c>
      <c r="H19" s="92">
        <f t="shared" si="1"/>
        <v>269.9785075127084</v>
      </c>
      <c r="L19" s="13"/>
    </row>
    <row r="20" spans="1:12" ht="15.75" customHeight="1">
      <c r="A20" s="89">
        <v>18</v>
      </c>
      <c r="B20" s="90" t="s">
        <v>15</v>
      </c>
      <c r="C20" s="89">
        <f>'Produzione rifiuti teorica'!$C25</f>
        <v>4</v>
      </c>
      <c r="D20" s="96">
        <f>'Produzione rifiuti teorica'!$D25</f>
        <v>442</v>
      </c>
      <c r="E20" s="64">
        <f>'UND Scelta Coefficienti'!$J22</f>
        <v>2.8</v>
      </c>
      <c r="F20" s="68">
        <f>B28</f>
        <v>0.28803237689658645</v>
      </c>
      <c r="G20" s="21">
        <f t="shared" si="0"/>
        <v>0.80649065531044206</v>
      </c>
      <c r="H20" s="92">
        <f t="shared" si="1"/>
        <v>356.4688696472154</v>
      </c>
      <c r="L20" s="13"/>
    </row>
    <row r="21" spans="1:12">
      <c r="A21" s="89">
        <v>19</v>
      </c>
      <c r="B21" s="90" t="s">
        <v>16</v>
      </c>
      <c r="C21" s="89">
        <f>'Produzione rifiuti teorica'!$C26</f>
        <v>1</v>
      </c>
      <c r="D21" s="96">
        <f>'Produzione rifiuti teorica'!$D26</f>
        <v>23</v>
      </c>
      <c r="E21" s="64">
        <f>'UND Scelta Coefficienti'!$J23</f>
        <v>3.02</v>
      </c>
      <c r="F21" s="68">
        <f>B28</f>
        <v>0.28803237689658645</v>
      </c>
      <c r="G21" s="21">
        <f t="shared" si="0"/>
        <v>0.86985777822769106</v>
      </c>
      <c r="H21" s="92">
        <f t="shared" si="1"/>
        <v>20.006728899236894</v>
      </c>
      <c r="L21" s="13"/>
    </row>
    <row r="22" spans="1:12" ht="15.75" customHeight="1">
      <c r="A22" s="89">
        <v>20</v>
      </c>
      <c r="B22" s="90" t="s">
        <v>17</v>
      </c>
      <c r="C22" s="89">
        <f>'Produzione rifiuti teorica'!$C27</f>
        <v>1</v>
      </c>
      <c r="D22" s="96">
        <f>'Produzione rifiuti teorica'!$D27</f>
        <v>108</v>
      </c>
      <c r="E22" s="64">
        <f>'UND Scelta Coefficienti'!$J24</f>
        <v>10.88</v>
      </c>
      <c r="F22" s="68">
        <f>B28</f>
        <v>0.28803237689658645</v>
      </c>
      <c r="G22" s="21">
        <f t="shared" si="0"/>
        <v>3.1337922606348609</v>
      </c>
      <c r="H22" s="92">
        <f t="shared" si="1"/>
        <v>338.449564148565</v>
      </c>
      <c r="L22" s="13"/>
    </row>
    <row r="23" spans="1:12">
      <c r="A23" s="89">
        <v>21</v>
      </c>
      <c r="B23" s="90" t="s">
        <v>18</v>
      </c>
      <c r="C23" s="89">
        <f>'Produzione rifiuti teorica'!$C28</f>
        <v>0</v>
      </c>
      <c r="D23" s="96">
        <f>'Produzione rifiuti teorica'!$D28</f>
        <v>0</v>
      </c>
      <c r="E23" s="64">
        <f>'UND Scelta Coefficienti'!$J25</f>
        <v>1.75</v>
      </c>
      <c r="F23" s="68">
        <f>$B$28</f>
        <v>0.28803237689658645</v>
      </c>
      <c r="G23" s="21">
        <f t="shared" si="0"/>
        <v>0.50405665956902634</v>
      </c>
      <c r="H23" s="92">
        <f t="shared" si="1"/>
        <v>0</v>
      </c>
      <c r="L23" s="13"/>
    </row>
    <row r="24" spans="1:12" ht="19.5" customHeight="1"/>
    <row r="25" spans="1:12">
      <c r="B25" s="6" t="s">
        <v>25</v>
      </c>
      <c r="C25" s="94">
        <f>SUM(C3:C24)</f>
        <v>30</v>
      </c>
      <c r="D25" s="94">
        <f>SUM(D3:D24)</f>
        <v>3390</v>
      </c>
      <c r="G25" s="97" t="s">
        <v>25</v>
      </c>
      <c r="H25" s="98">
        <f>SUM(H3:H24)</f>
        <v>1815.8309923740742</v>
      </c>
      <c r="I25" s="16">
        <f>'Dati iniziali'!D7-'UND TF'!H25</f>
        <v>0</v>
      </c>
    </row>
    <row r="26" spans="1:12">
      <c r="C26" s="94"/>
      <c r="D26" s="94"/>
      <c r="G26" s="97"/>
      <c r="H26" s="98"/>
      <c r="I26" s="13"/>
    </row>
    <row r="27" spans="1:12">
      <c r="C27" s="94"/>
      <c r="D27" s="94"/>
      <c r="G27" s="97"/>
      <c r="H27" s="98"/>
      <c r="I27" s="13"/>
    </row>
    <row r="28" spans="1:12" ht="14.25" customHeight="1">
      <c r="A28" s="60" t="s">
        <v>43</v>
      </c>
      <c r="B28" s="17">
        <f>('Dati iniziali'!D7)/((D3*E3)+(D4*E4)+(D5*E5)+(D6*E6)+(D7*E7)+(D8*E8)+(D9*E9)+(D10*E10)+(D11*E11)+(D12*E12)+(D13*E13)+(D14*E14)+(D15*E15)+(D16*E16)+(D17*E17)+(D18*E18)+(D19*E19)+(D20*E20)+(D21*E21)+(D22*E22)+(D23*E23))</f>
        <v>0.28803237689658645</v>
      </c>
    </row>
  </sheetData>
  <mergeCells count="1">
    <mergeCell ref="A1:H1"/>
  </mergeCells>
  <phoneticPr fontId="0" type="noConversion"/>
  <printOptions gridLines="1"/>
  <pageMargins left="0.74803149606299213" right="0.74803149606299213" top="0.17" bottom="0.53" header="0.17" footer="0.51181102362204722"/>
  <pageSetup paperSize="9" scale="91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25"/>
  <sheetViews>
    <sheetView zoomScaleNormal="100" workbookViewId="0">
      <selection activeCell="O11" sqref="O11"/>
    </sheetView>
  </sheetViews>
  <sheetFormatPr defaultColWidth="9.140625" defaultRowHeight="15"/>
  <cols>
    <col min="1" max="1" width="4.42578125" style="60" customWidth="1"/>
    <col min="2" max="2" width="38.42578125" style="6" customWidth="1"/>
    <col min="3" max="3" width="8" style="6" customWidth="1"/>
    <col min="4" max="4" width="10.28515625" style="6" customWidth="1"/>
    <col min="5" max="5" width="10.140625" style="6" customWidth="1"/>
    <col min="6" max="6" width="12.5703125" style="72" customWidth="1"/>
    <col min="7" max="7" width="6" style="72" customWidth="1"/>
    <col min="8" max="8" width="17" style="72" customWidth="1"/>
    <col min="9" max="9" width="12.7109375" style="72" bestFit="1" customWidth="1"/>
    <col min="10" max="16384" width="9.140625" style="6"/>
  </cols>
  <sheetData>
    <row r="1" spans="1:9" ht="29.25" customHeight="1" thickBot="1">
      <c r="A1" s="195" t="s">
        <v>135</v>
      </c>
      <c r="B1" s="195"/>
      <c r="C1" s="195"/>
      <c r="D1" s="195"/>
      <c r="E1" s="195"/>
      <c r="F1" s="195"/>
      <c r="G1" s="195"/>
      <c r="H1" s="195"/>
      <c r="I1" s="195"/>
    </row>
    <row r="2" spans="1:9" s="7" customFormat="1" ht="40.5" customHeight="1">
      <c r="A2" s="75" t="s">
        <v>37</v>
      </c>
      <c r="B2" s="75" t="s">
        <v>38</v>
      </c>
      <c r="C2" s="75" t="s">
        <v>39</v>
      </c>
      <c r="D2" s="75" t="s">
        <v>40</v>
      </c>
      <c r="E2" s="75" t="s">
        <v>107</v>
      </c>
      <c r="F2" s="100" t="s">
        <v>45</v>
      </c>
      <c r="G2" s="100" t="s">
        <v>34</v>
      </c>
      <c r="H2" s="87" t="s">
        <v>183</v>
      </c>
      <c r="I2" s="100" t="s">
        <v>44</v>
      </c>
    </row>
    <row r="3" spans="1:9" ht="30" customHeight="1">
      <c r="A3" s="89">
        <v>1</v>
      </c>
      <c r="B3" s="90" t="s">
        <v>0</v>
      </c>
      <c r="C3" s="10">
        <f>'Produzione rifiuti teorica'!$C8</f>
        <v>3</v>
      </c>
      <c r="D3" s="65">
        <f>'Produzione rifiuti teorica'!$D8</f>
        <v>188</v>
      </c>
      <c r="E3" s="64">
        <f>'UND Scelta Coefficienti'!$S5</f>
        <v>6.83</v>
      </c>
      <c r="F3" s="101">
        <f>D3*E3</f>
        <v>1284.04</v>
      </c>
      <c r="G3" s="102">
        <f>'Dati iniziali'!$D$8/$F$25</f>
        <v>0.23971364992933913</v>
      </c>
      <c r="H3" s="123">
        <f>E3*G3</f>
        <v>1.6372442290173863</v>
      </c>
      <c r="I3" s="103">
        <f t="shared" ref="I3:I23" si="0">D3*H3</f>
        <v>307.80191505526864</v>
      </c>
    </row>
    <row r="4" spans="1:9" ht="30">
      <c r="A4" s="89">
        <v>2</v>
      </c>
      <c r="B4" s="90" t="s">
        <v>1</v>
      </c>
      <c r="C4" s="10">
        <f>'Produzione rifiuti teorica'!$C9</f>
        <v>0</v>
      </c>
      <c r="D4" s="65">
        <f>'Produzione rifiuti teorica'!$D9</f>
        <v>0</v>
      </c>
      <c r="E4" s="64">
        <f>'UND Scelta Coefficienti'!$S6</f>
        <v>7</v>
      </c>
      <c r="F4" s="101">
        <f t="shared" ref="F4:F23" si="1">D4*E4</f>
        <v>0</v>
      </c>
      <c r="G4" s="102">
        <f>'Dati iniziali'!$D$8/$F$25</f>
        <v>0.23971364992933913</v>
      </c>
      <c r="H4" s="123">
        <f t="shared" ref="H4:H23" si="2">E4*G4</f>
        <v>1.677995549505374</v>
      </c>
      <c r="I4" s="103">
        <f t="shared" si="0"/>
        <v>0</v>
      </c>
    </row>
    <row r="5" spans="1:9">
      <c r="A5" s="89">
        <v>3</v>
      </c>
      <c r="B5" s="90" t="s">
        <v>2</v>
      </c>
      <c r="C5" s="10">
        <f>'Produzione rifiuti teorica'!$C10</f>
        <v>0</v>
      </c>
      <c r="D5" s="65">
        <f>'Produzione rifiuti teorica'!$D10</f>
        <v>0</v>
      </c>
      <c r="E5" s="64">
        <f>'UND Scelta Coefficienti'!$S7</f>
        <v>7</v>
      </c>
      <c r="F5" s="101">
        <f t="shared" si="1"/>
        <v>0</v>
      </c>
      <c r="G5" s="102">
        <f>'Dati iniziali'!$D$8/$F$25</f>
        <v>0.23971364992933913</v>
      </c>
      <c r="H5" s="123">
        <f t="shared" si="2"/>
        <v>1.677995549505374</v>
      </c>
      <c r="I5" s="103">
        <f t="shared" si="0"/>
        <v>0</v>
      </c>
    </row>
    <row r="6" spans="1:9">
      <c r="A6" s="89">
        <v>4</v>
      </c>
      <c r="B6" s="90" t="s">
        <v>3</v>
      </c>
      <c r="C6" s="10">
        <f>'Produzione rifiuti teorica'!$C11</f>
        <v>0</v>
      </c>
      <c r="D6" s="65">
        <f>'Produzione rifiuti teorica'!$D11</f>
        <v>0</v>
      </c>
      <c r="E6" s="64">
        <f>'UND Scelta Coefficienti'!$S8</f>
        <v>5</v>
      </c>
      <c r="F6" s="101">
        <f t="shared" si="1"/>
        <v>0</v>
      </c>
      <c r="G6" s="102">
        <f>'Dati iniziali'!$D$8/$F$25</f>
        <v>0.23971364992933913</v>
      </c>
      <c r="H6" s="123">
        <f t="shared" si="2"/>
        <v>1.1985682496466956</v>
      </c>
      <c r="I6" s="103">
        <f t="shared" si="0"/>
        <v>0</v>
      </c>
    </row>
    <row r="7" spans="1:9">
      <c r="A7" s="89">
        <v>5</v>
      </c>
      <c r="B7" s="90" t="s">
        <v>4</v>
      </c>
      <c r="C7" s="10">
        <f>'Produzione rifiuti teorica'!$C12</f>
        <v>0</v>
      </c>
      <c r="D7" s="65">
        <f>'Produzione rifiuti teorica'!$D12</f>
        <v>0</v>
      </c>
      <c r="E7" s="64">
        <f>'UND Scelta Coefficienti'!$S9</f>
        <v>14</v>
      </c>
      <c r="F7" s="101">
        <f t="shared" si="1"/>
        <v>0</v>
      </c>
      <c r="G7" s="102">
        <f>'Dati iniziali'!$D$8/$F$25</f>
        <v>0.23971364992933913</v>
      </c>
      <c r="H7" s="123">
        <f t="shared" si="2"/>
        <v>3.355991099010748</v>
      </c>
      <c r="I7" s="103">
        <f t="shared" si="0"/>
        <v>0</v>
      </c>
    </row>
    <row r="8" spans="1:9">
      <c r="A8" s="89">
        <v>6</v>
      </c>
      <c r="B8" s="90" t="s">
        <v>5</v>
      </c>
      <c r="C8" s="10">
        <f>'Produzione rifiuti teorica'!$C13</f>
        <v>0</v>
      </c>
      <c r="D8" s="65">
        <f>'Produzione rifiuti teorica'!$D13</f>
        <v>0</v>
      </c>
      <c r="E8" s="64">
        <f>'UND Scelta Coefficienti'!$S10</f>
        <v>9</v>
      </c>
      <c r="F8" s="101">
        <f t="shared" si="1"/>
        <v>0</v>
      </c>
      <c r="G8" s="102">
        <f>'Dati iniziali'!$D$8/$F$25</f>
        <v>0.23971364992933913</v>
      </c>
      <c r="H8" s="123">
        <f t="shared" si="2"/>
        <v>2.1574228493640524</v>
      </c>
      <c r="I8" s="103">
        <f t="shared" si="0"/>
        <v>0</v>
      </c>
    </row>
    <row r="9" spans="1:9">
      <c r="A9" s="89">
        <v>7</v>
      </c>
      <c r="B9" s="90" t="s">
        <v>6</v>
      </c>
      <c r="C9" s="10">
        <f>'Produzione rifiuti teorica'!$C14</f>
        <v>0</v>
      </c>
      <c r="D9" s="65">
        <f>'Produzione rifiuti teorica'!$D14</f>
        <v>0</v>
      </c>
      <c r="E9" s="64">
        <f>'UND Scelta Coefficienti'!$S11</f>
        <v>11</v>
      </c>
      <c r="F9" s="101">
        <f t="shared" si="1"/>
        <v>0</v>
      </c>
      <c r="G9" s="102">
        <f>'Dati iniziali'!$D$8/$F$25</f>
        <v>0.23971364992933913</v>
      </c>
      <c r="H9" s="123">
        <f t="shared" si="2"/>
        <v>2.6368501492227305</v>
      </c>
      <c r="I9" s="103">
        <f t="shared" si="0"/>
        <v>0</v>
      </c>
    </row>
    <row r="10" spans="1:9">
      <c r="A10" s="89">
        <v>8</v>
      </c>
      <c r="B10" s="90" t="s">
        <v>7</v>
      </c>
      <c r="C10" s="10">
        <f>'Produzione rifiuti teorica'!$C15</f>
        <v>5</v>
      </c>
      <c r="D10" s="65">
        <f>'Produzione rifiuti teorica'!$D15</f>
        <v>312</v>
      </c>
      <c r="E10" s="64">
        <f>'UND Scelta Coefficienti'!$S12</f>
        <v>10.5</v>
      </c>
      <c r="F10" s="101">
        <f t="shared" si="1"/>
        <v>3276</v>
      </c>
      <c r="G10" s="102">
        <f>'Dati iniziali'!$D$8/$F$25</f>
        <v>0.23971364992933913</v>
      </c>
      <c r="H10" s="123">
        <f t="shared" si="2"/>
        <v>2.5169933242580611</v>
      </c>
      <c r="I10" s="103">
        <f t="shared" si="0"/>
        <v>785.30191716851505</v>
      </c>
    </row>
    <row r="11" spans="1:9">
      <c r="A11" s="89">
        <v>9</v>
      </c>
      <c r="B11" s="90" t="s">
        <v>8</v>
      </c>
      <c r="C11" s="10">
        <f>'Produzione rifiuti teorica'!$C16</f>
        <v>0</v>
      </c>
      <c r="D11" s="65">
        <f>'Produzione rifiuti teorica'!$D16</f>
        <v>0</v>
      </c>
      <c r="E11" s="64">
        <f>'UND Scelta Coefficienti'!$S13</f>
        <v>9</v>
      </c>
      <c r="F11" s="101">
        <f t="shared" si="1"/>
        <v>0</v>
      </c>
      <c r="G11" s="102">
        <f>'Dati iniziali'!$D$8/$F$25</f>
        <v>0.23971364992933913</v>
      </c>
      <c r="H11" s="123">
        <f t="shared" si="2"/>
        <v>2.1574228493640524</v>
      </c>
      <c r="I11" s="103">
        <f t="shared" si="0"/>
        <v>0</v>
      </c>
    </row>
    <row r="12" spans="1:9" s="80" customFormat="1" ht="30">
      <c r="A12" s="89">
        <v>10</v>
      </c>
      <c r="B12" s="104" t="s">
        <v>9</v>
      </c>
      <c r="C12" s="10">
        <f>'Produzione rifiuti teorica'!$C17</f>
        <v>1</v>
      </c>
      <c r="D12" s="65">
        <f>'Produzione rifiuti teorica'!$D17</f>
        <v>176</v>
      </c>
      <c r="E12" s="64">
        <f>'UND Scelta Coefficienti'!$S14</f>
        <v>12.5</v>
      </c>
      <c r="F12" s="105">
        <f t="shared" si="1"/>
        <v>2200</v>
      </c>
      <c r="G12" s="106">
        <f>'Dati iniziali'!$D$8/$F$25</f>
        <v>0.23971364992933913</v>
      </c>
      <c r="H12" s="123">
        <f t="shared" si="2"/>
        <v>2.9964206241167393</v>
      </c>
      <c r="I12" s="107">
        <f t="shared" si="0"/>
        <v>527.37002984454614</v>
      </c>
    </row>
    <row r="13" spans="1:9">
      <c r="A13" s="89">
        <v>11</v>
      </c>
      <c r="B13" s="90" t="s">
        <v>10</v>
      </c>
      <c r="C13" s="10">
        <f>'Produzione rifiuti teorica'!$C18</f>
        <v>2</v>
      </c>
      <c r="D13" s="65">
        <f>'Produzione rifiuti teorica'!$D18</f>
        <v>141</v>
      </c>
      <c r="E13" s="64">
        <f>'UND Scelta Coefficienti'!$S15</f>
        <v>15</v>
      </c>
      <c r="F13" s="101">
        <f t="shared" si="1"/>
        <v>2115</v>
      </c>
      <c r="G13" s="102">
        <f>'Dati iniziali'!$D$8/$F$25</f>
        <v>0.23971364992933913</v>
      </c>
      <c r="H13" s="123">
        <f t="shared" si="2"/>
        <v>3.5957047489400868</v>
      </c>
      <c r="I13" s="103">
        <f t="shared" si="0"/>
        <v>506.99436960055226</v>
      </c>
    </row>
    <row r="14" spans="1:9" ht="30">
      <c r="A14" s="89">
        <v>12</v>
      </c>
      <c r="B14" s="90" t="s">
        <v>82</v>
      </c>
      <c r="C14" s="10">
        <f>'Produzione rifiuti teorica'!$C19</f>
        <v>5</v>
      </c>
      <c r="D14" s="65">
        <f>'Produzione rifiuti teorica'!$D19</f>
        <v>380</v>
      </c>
      <c r="E14" s="64">
        <f>'UND Scelta Coefficienti'!$S16</f>
        <v>12.2</v>
      </c>
      <c r="F14" s="101">
        <f t="shared" si="1"/>
        <v>4636</v>
      </c>
      <c r="G14" s="102">
        <f>'Dati iniziali'!$D$8/$F$25</f>
        <v>0.23971364992933913</v>
      </c>
      <c r="H14" s="123">
        <f t="shared" si="2"/>
        <v>2.9245065291379371</v>
      </c>
      <c r="I14" s="103">
        <f t="shared" si="0"/>
        <v>1111.3124810724162</v>
      </c>
    </row>
    <row r="15" spans="1:9">
      <c r="A15" s="89">
        <v>13</v>
      </c>
      <c r="B15" s="90" t="s">
        <v>11</v>
      </c>
      <c r="C15" s="10">
        <f>'Produzione rifiuti teorica'!$C20</f>
        <v>2</v>
      </c>
      <c r="D15" s="65">
        <f>'Produzione rifiuti teorica'!$D20</f>
        <v>605</v>
      </c>
      <c r="E15" s="64">
        <f>'UND Scelta Coefficienti'!$S17</f>
        <v>12.75</v>
      </c>
      <c r="F15" s="101">
        <f t="shared" si="1"/>
        <v>7713.75</v>
      </c>
      <c r="G15" s="102">
        <f>'Dati iniziali'!$D$8/$F$25</f>
        <v>0.23971364992933913</v>
      </c>
      <c r="H15" s="123">
        <f t="shared" si="2"/>
        <v>3.056349036599074</v>
      </c>
      <c r="I15" s="103">
        <f t="shared" si="0"/>
        <v>1849.0911671424396</v>
      </c>
    </row>
    <row r="16" spans="1:9" ht="30">
      <c r="A16" s="89">
        <v>14</v>
      </c>
      <c r="B16" s="90" t="s">
        <v>12</v>
      </c>
      <c r="C16" s="10">
        <f>'Produzione rifiuti teorica'!$C21</f>
        <v>0</v>
      </c>
      <c r="D16" s="65">
        <f>'Produzione rifiuti teorica'!$D21</f>
        <v>0</v>
      </c>
      <c r="E16" s="64">
        <f>'UND Scelta Coefficienti'!$S18</f>
        <v>7.53</v>
      </c>
      <c r="F16" s="101">
        <f t="shared" si="1"/>
        <v>0</v>
      </c>
      <c r="G16" s="102">
        <f>'Dati iniziali'!$D$8/$F$25</f>
        <v>0.23971364992933913</v>
      </c>
      <c r="H16" s="123">
        <f t="shared" si="2"/>
        <v>1.8050437839679236</v>
      </c>
      <c r="I16" s="103">
        <f t="shared" si="0"/>
        <v>0</v>
      </c>
    </row>
    <row r="17" spans="1:10" ht="30">
      <c r="A17" s="89">
        <v>15</v>
      </c>
      <c r="B17" s="90" t="s">
        <v>83</v>
      </c>
      <c r="C17" s="10">
        <f>'Produzione rifiuti teorica'!$C22</f>
        <v>3</v>
      </c>
      <c r="D17" s="65">
        <f>'Produzione rifiuti teorica'!$D22</f>
        <v>801</v>
      </c>
      <c r="E17" s="64">
        <f>'UND Scelta Coefficienti'!$S19</f>
        <v>9</v>
      </c>
      <c r="F17" s="101">
        <f t="shared" si="1"/>
        <v>7209</v>
      </c>
      <c r="G17" s="102">
        <f>'Dati iniziali'!$D$8/$F$25</f>
        <v>0.23971364992933913</v>
      </c>
      <c r="H17" s="123">
        <f t="shared" si="2"/>
        <v>2.1574228493640524</v>
      </c>
      <c r="I17" s="103">
        <f t="shared" si="0"/>
        <v>1728.0957023406058</v>
      </c>
    </row>
    <row r="18" spans="1:10">
      <c r="A18" s="89">
        <v>16</v>
      </c>
      <c r="B18" s="90" t="s">
        <v>13</v>
      </c>
      <c r="C18" s="10">
        <f>'Produzione rifiuti teorica'!$C23</f>
        <v>0</v>
      </c>
      <c r="D18" s="65">
        <f>'Produzione rifiuti teorica'!$D23</f>
        <v>0</v>
      </c>
      <c r="E18" s="64">
        <f>'UND Scelta Coefficienti'!$S20</f>
        <v>78</v>
      </c>
      <c r="F18" s="101">
        <f t="shared" si="1"/>
        <v>0</v>
      </c>
      <c r="G18" s="102">
        <f>'Dati iniziali'!$D$8/$F$25</f>
        <v>0.23971364992933913</v>
      </c>
      <c r="H18" s="123">
        <f t="shared" si="2"/>
        <v>18.697664694488452</v>
      </c>
      <c r="I18" s="103">
        <f t="shared" si="0"/>
        <v>0</v>
      </c>
    </row>
    <row r="19" spans="1:10">
      <c r="A19" s="89">
        <v>17</v>
      </c>
      <c r="B19" s="90" t="s">
        <v>14</v>
      </c>
      <c r="C19" s="10">
        <f>'Produzione rifiuti teorica'!$C24</f>
        <v>3</v>
      </c>
      <c r="D19" s="65">
        <f>'Produzione rifiuti teorica'!$D24</f>
        <v>214</v>
      </c>
      <c r="E19" s="64">
        <f>'UND Scelta Coefficienti'!$S21</f>
        <v>38.5</v>
      </c>
      <c r="F19" s="101">
        <f t="shared" si="1"/>
        <v>8239</v>
      </c>
      <c r="G19" s="102">
        <f>'Dati iniziali'!$D$8/$F$25</f>
        <v>0.23971364992933913</v>
      </c>
      <c r="H19" s="123">
        <f t="shared" si="2"/>
        <v>9.2289755222795566</v>
      </c>
      <c r="I19" s="103">
        <f t="shared" si="0"/>
        <v>1975.0007617678252</v>
      </c>
    </row>
    <row r="20" spans="1:10">
      <c r="A20" s="89">
        <v>18</v>
      </c>
      <c r="B20" s="90" t="s">
        <v>15</v>
      </c>
      <c r="C20" s="10">
        <f>'Produzione rifiuti teorica'!$C25</f>
        <v>4</v>
      </c>
      <c r="D20" s="65">
        <f>'Produzione rifiuti teorica'!$D25</f>
        <v>442</v>
      </c>
      <c r="E20" s="64">
        <f>'UND Scelta Coefficienti'!$S22</f>
        <v>12.2</v>
      </c>
      <c r="F20" s="101">
        <f t="shared" si="1"/>
        <v>5392.4</v>
      </c>
      <c r="G20" s="102">
        <f>'Dati iniziali'!$D$8/$F$25</f>
        <v>0.23971364992933913</v>
      </c>
      <c r="H20" s="123">
        <f t="shared" si="2"/>
        <v>2.9245065291379371</v>
      </c>
      <c r="I20" s="103">
        <f t="shared" si="0"/>
        <v>1292.6318858789682</v>
      </c>
    </row>
    <row r="21" spans="1:10">
      <c r="A21" s="89">
        <v>19</v>
      </c>
      <c r="B21" s="90" t="s">
        <v>16</v>
      </c>
      <c r="C21" s="10">
        <f>'Produzione rifiuti teorica'!$C26</f>
        <v>1</v>
      </c>
      <c r="D21" s="65">
        <f>'Produzione rifiuti teorica'!$D26</f>
        <v>23</v>
      </c>
      <c r="E21" s="64">
        <f>'UND Scelta Coefficienti'!$S23</f>
        <v>30</v>
      </c>
      <c r="F21" s="101">
        <f t="shared" si="1"/>
        <v>690</v>
      </c>
      <c r="G21" s="102">
        <f>'Dati iniziali'!$D$8/$F$25</f>
        <v>0.23971364992933913</v>
      </c>
      <c r="H21" s="123">
        <f t="shared" si="2"/>
        <v>7.1914094978801737</v>
      </c>
      <c r="I21" s="103">
        <f t="shared" si="0"/>
        <v>165.40241845124399</v>
      </c>
    </row>
    <row r="22" spans="1:10" ht="30">
      <c r="A22" s="89">
        <v>20</v>
      </c>
      <c r="B22" s="90" t="s">
        <v>17</v>
      </c>
      <c r="C22" s="10">
        <f>'Produzione rifiuti teorica'!$C27</f>
        <v>1</v>
      </c>
      <c r="D22" s="65">
        <f>'Produzione rifiuti teorica'!$D27</f>
        <v>108</v>
      </c>
      <c r="E22" s="64">
        <f>'UND Scelta Coefficienti'!$S24</f>
        <v>54</v>
      </c>
      <c r="F22" s="101">
        <f t="shared" si="1"/>
        <v>5832</v>
      </c>
      <c r="G22" s="102">
        <f>'Dati iniziali'!$D$8/$F$25</f>
        <v>0.23971364992933913</v>
      </c>
      <c r="H22" s="123">
        <f t="shared" si="2"/>
        <v>12.944537096184312</v>
      </c>
      <c r="I22" s="103">
        <f t="shared" si="0"/>
        <v>1398.0100063879058</v>
      </c>
    </row>
    <row r="23" spans="1:10">
      <c r="A23" s="89">
        <v>21</v>
      </c>
      <c r="B23" s="90" t="s">
        <v>18</v>
      </c>
      <c r="C23" s="10">
        <f>'Produzione rifiuti teorica'!$C28</f>
        <v>0</v>
      </c>
      <c r="D23" s="65">
        <f>'Produzione rifiuti teorica'!$D28</f>
        <v>0</v>
      </c>
      <c r="E23" s="64">
        <f>'UND Scelta Coefficienti'!$S25</f>
        <v>15.43</v>
      </c>
      <c r="F23" s="101">
        <f t="shared" si="1"/>
        <v>0</v>
      </c>
      <c r="G23" s="102">
        <f>'Dati iniziali'!$D$8/$F$25</f>
        <v>0.23971364992933913</v>
      </c>
      <c r="H23" s="123">
        <f t="shared" si="2"/>
        <v>3.6987816184097029</v>
      </c>
      <c r="I23" s="103">
        <f t="shared" si="0"/>
        <v>0</v>
      </c>
    </row>
    <row r="25" spans="1:10">
      <c r="B25" s="6" t="s">
        <v>136</v>
      </c>
      <c r="C25" s="93">
        <f>SUM(C3:C23)</f>
        <v>30</v>
      </c>
      <c r="D25" s="93">
        <f>SUM(D3:D23)</f>
        <v>3390</v>
      </c>
      <c r="F25" s="72">
        <f>SUM(F3:F24)</f>
        <v>48587.19</v>
      </c>
      <c r="I25" s="72">
        <f>SUM(I3:I23)</f>
        <v>11647.012654710288</v>
      </c>
      <c r="J25" s="16">
        <f>'Dati iniziali'!D8-'UND TV'!I25</f>
        <v>0</v>
      </c>
    </row>
  </sheetData>
  <mergeCells count="1">
    <mergeCell ref="A1:I1"/>
  </mergeCells>
  <phoneticPr fontId="0" type="noConversion"/>
  <printOptions gridLines="1"/>
  <pageMargins left="0.74803149606299213" right="0.74803149606299213" top="0.15748031496062992" bottom="0.59" header="0.15748031496062992" footer="0.51181102362204722"/>
  <pageSetup paperSize="9" scale="96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8"/>
  </sheetPr>
  <dimension ref="A1:O23"/>
  <sheetViews>
    <sheetView zoomScaleNormal="100" workbookViewId="0">
      <selection activeCell="Q44" sqref="Q44"/>
    </sheetView>
  </sheetViews>
  <sheetFormatPr defaultColWidth="9.140625" defaultRowHeight="12.75"/>
  <cols>
    <col min="1" max="1" width="4" style="1" bestFit="1" customWidth="1"/>
    <col min="2" max="2" width="42.5703125" style="99" customWidth="1"/>
    <col min="3" max="3" width="11.42578125" style="1" customWidth="1"/>
    <col min="4" max="4" width="11.5703125" style="1" customWidth="1"/>
    <col min="5" max="5" width="15.7109375" style="2" customWidth="1"/>
    <col min="6" max="6" width="4" style="2" customWidth="1"/>
    <col min="7" max="7" width="10.42578125" style="2" customWidth="1"/>
    <col min="8" max="8" width="12.140625" style="2" customWidth="1"/>
    <col min="9" max="9" width="17.140625" style="2" customWidth="1"/>
    <col min="10" max="10" width="4" style="2" customWidth="1"/>
    <col min="11" max="11" width="11.42578125" style="1" customWidth="1"/>
    <col min="12" max="12" width="3.7109375" style="2" customWidth="1"/>
    <col min="13" max="14" width="9.140625" style="2"/>
    <col min="15" max="15" width="9.28515625" style="2" bestFit="1" customWidth="1"/>
    <col min="16" max="16384" width="9.140625" style="2"/>
  </cols>
  <sheetData>
    <row r="1" spans="1:13" ht="46.5" customHeight="1" thickBot="1">
      <c r="A1" s="202" t="s">
        <v>185</v>
      </c>
      <c r="B1" s="203"/>
      <c r="C1" s="203"/>
      <c r="D1" s="203"/>
      <c r="E1" s="204"/>
    </row>
    <row r="2" spans="1:13" s="3" customFormat="1" ht="38.25" customHeight="1">
      <c r="A2" s="163" t="s">
        <v>37</v>
      </c>
      <c r="B2" s="128" t="s">
        <v>38</v>
      </c>
      <c r="C2" s="128" t="s">
        <v>41</v>
      </c>
      <c r="D2" s="129" t="s">
        <v>44</v>
      </c>
      <c r="E2" s="152" t="s">
        <v>184</v>
      </c>
      <c r="G2" s="4" t="s">
        <v>41</v>
      </c>
      <c r="H2" s="4" t="s">
        <v>44</v>
      </c>
      <c r="I2" s="4" t="s">
        <v>186</v>
      </c>
      <c r="K2" s="149" t="s">
        <v>108</v>
      </c>
    </row>
    <row r="3" spans="1:13" ht="15">
      <c r="A3" s="164">
        <v>1</v>
      </c>
      <c r="B3" s="104" t="s">
        <v>0</v>
      </c>
      <c r="C3" s="125">
        <f>'UND TF'!G3</f>
        <v>0.14977683598622496</v>
      </c>
      <c r="D3" s="126">
        <f>'UND TV'!H3</f>
        <v>1.6372442290173863</v>
      </c>
      <c r="E3" s="153">
        <f>(C3+D3)</f>
        <v>1.7870210650036114</v>
      </c>
      <c r="F3" s="99"/>
      <c r="G3" s="133">
        <v>9.4455631460024045E-2</v>
      </c>
      <c r="H3" s="133">
        <v>1.7095213547945614</v>
      </c>
      <c r="I3" s="133">
        <v>1.8039769862545854</v>
      </c>
      <c r="J3" s="108"/>
      <c r="K3" s="150">
        <f>E3-I3</f>
        <v>-1.6955921250974004E-2</v>
      </c>
      <c r="L3" s="99"/>
      <c r="M3" s="175">
        <f>K3/I3</f>
        <v>-9.3991893356565846E-3</v>
      </c>
    </row>
    <row r="4" spans="1:13" ht="30">
      <c r="A4" s="164">
        <v>2</v>
      </c>
      <c r="B4" s="104" t="s">
        <v>1</v>
      </c>
      <c r="C4" s="125">
        <f>'UND TF'!G4</f>
        <v>0.21314395890347398</v>
      </c>
      <c r="D4" s="126">
        <f>'UND TV'!H4</f>
        <v>1.677995549505374</v>
      </c>
      <c r="E4" s="153">
        <f t="shared" ref="E4:E23" si="0">(C4+D4)</f>
        <v>1.891139508408848</v>
      </c>
      <c r="F4" s="99"/>
      <c r="G4" s="133">
        <v>0.13441762938541882</v>
      </c>
      <c r="H4" s="133">
        <v>1.7520716667001359</v>
      </c>
      <c r="I4" s="133">
        <v>1.8864892960855548</v>
      </c>
      <c r="J4" s="108"/>
      <c r="K4" s="150">
        <f t="shared" ref="K4:K23" si="1">E4-I4</f>
        <v>4.6502123232932124E-3</v>
      </c>
      <c r="L4" s="99"/>
      <c r="M4" s="175">
        <f t="shared" ref="M4:M23" si="2">K4/I4</f>
        <v>2.4650085918549091E-3</v>
      </c>
    </row>
    <row r="5" spans="1:13" ht="15">
      <c r="A5" s="164">
        <v>3</v>
      </c>
      <c r="B5" s="104" t="s">
        <v>2</v>
      </c>
      <c r="C5" s="125">
        <f>'UND TF'!G5</f>
        <v>0.21602428267243984</v>
      </c>
      <c r="D5" s="126">
        <f>'UND TV'!H5</f>
        <v>1.677995549505374</v>
      </c>
      <c r="E5" s="153">
        <f t="shared" si="0"/>
        <v>1.8940198321778139</v>
      </c>
      <c r="F5" s="99"/>
      <c r="G5" s="133">
        <v>0.13623408383657315</v>
      </c>
      <c r="H5" s="133">
        <v>1.7520716667001359</v>
      </c>
      <c r="I5" s="133">
        <v>1.8883057505367091</v>
      </c>
      <c r="J5" s="108"/>
      <c r="K5" s="150">
        <f t="shared" si="1"/>
        <v>5.7140816411047624E-3</v>
      </c>
      <c r="L5" s="99"/>
      <c r="M5" s="175">
        <f t="shared" si="2"/>
        <v>3.0260362441202442E-3</v>
      </c>
    </row>
    <row r="6" spans="1:13" ht="15">
      <c r="A6" s="164">
        <v>4</v>
      </c>
      <c r="B6" s="104" t="s">
        <v>3</v>
      </c>
      <c r="C6" s="125">
        <f>'UND TF'!G6</f>
        <v>0.14977683598622496</v>
      </c>
      <c r="D6" s="126">
        <f>'UND TV'!H6</f>
        <v>1.1985682496466956</v>
      </c>
      <c r="E6" s="153">
        <f t="shared" si="0"/>
        <v>1.3483450856329207</v>
      </c>
      <c r="F6" s="99"/>
      <c r="G6" s="133">
        <v>9.4455631460024045E-2</v>
      </c>
      <c r="H6" s="133">
        <v>1.2514797619286686</v>
      </c>
      <c r="I6" s="133">
        <v>1.3459353933886926</v>
      </c>
      <c r="J6" s="108"/>
      <c r="K6" s="150">
        <f t="shared" si="1"/>
        <v>2.4096922442280455E-3</v>
      </c>
      <c r="L6" s="99"/>
      <c r="M6" s="175">
        <f t="shared" si="2"/>
        <v>1.7903476318882644E-3</v>
      </c>
    </row>
    <row r="7" spans="1:13" ht="14.45" customHeight="1">
      <c r="A7" s="164">
        <v>5</v>
      </c>
      <c r="B7" s="104" t="s">
        <v>4</v>
      </c>
      <c r="C7" s="125">
        <f>'UND TF'!G7</f>
        <v>0.446450184189709</v>
      </c>
      <c r="D7" s="126">
        <f>'UND TV'!H7</f>
        <v>3.355991099010748</v>
      </c>
      <c r="E7" s="153">
        <f t="shared" si="0"/>
        <v>3.8024412832004568</v>
      </c>
      <c r="F7" s="99"/>
      <c r="G7" s="133">
        <v>0.28155043992891782</v>
      </c>
      <c r="H7" s="133">
        <v>3.5041433334002718</v>
      </c>
      <c r="I7" s="133">
        <v>3.7856937733291898</v>
      </c>
      <c r="J7" s="108"/>
      <c r="K7" s="150">
        <f t="shared" si="1"/>
        <v>1.6747509871267052E-2</v>
      </c>
      <c r="L7" s="99"/>
      <c r="M7" s="175">
        <f t="shared" si="2"/>
        <v>4.4238945023118096E-3</v>
      </c>
    </row>
    <row r="8" spans="1:13" ht="15">
      <c r="A8" s="164">
        <v>6</v>
      </c>
      <c r="B8" s="104" t="s">
        <v>5</v>
      </c>
      <c r="C8" s="125">
        <f>'UND TF'!G8</f>
        <v>0.2851520531276206</v>
      </c>
      <c r="D8" s="126">
        <f>'UND TV'!H8</f>
        <v>2.1574228493640524</v>
      </c>
      <c r="E8" s="153">
        <f t="shared" si="0"/>
        <v>2.442574902491673</v>
      </c>
      <c r="F8" s="99"/>
      <c r="G8" s="133">
        <v>0.17982899066427654</v>
      </c>
      <c r="H8" s="133">
        <v>2.2526635714716035</v>
      </c>
      <c r="I8" s="133">
        <v>2.4324925621358799</v>
      </c>
      <c r="J8" s="108"/>
      <c r="K8" s="150">
        <f t="shared" si="1"/>
        <v>1.0082340355793029E-2</v>
      </c>
      <c r="L8" s="99"/>
      <c r="M8" s="175">
        <f t="shared" si="2"/>
        <v>4.1448596853838294E-3</v>
      </c>
    </row>
    <row r="9" spans="1:13" ht="15">
      <c r="A9" s="164">
        <v>7</v>
      </c>
      <c r="B9" s="104" t="s">
        <v>6</v>
      </c>
      <c r="C9" s="125">
        <f>'UND TF'!G9</f>
        <v>0.34563885227590374</v>
      </c>
      <c r="D9" s="126">
        <f>'UND TV'!H9</f>
        <v>2.6368501492227305</v>
      </c>
      <c r="E9" s="153">
        <f t="shared" si="0"/>
        <v>2.9824890014986343</v>
      </c>
      <c r="F9" s="99"/>
      <c r="G9" s="133">
        <v>0.217974534138517</v>
      </c>
      <c r="H9" s="133">
        <v>2.753255476243071</v>
      </c>
      <c r="I9" s="133">
        <v>2.9712300103815878</v>
      </c>
      <c r="J9" s="108"/>
      <c r="K9" s="150">
        <f t="shared" si="1"/>
        <v>1.1258991117046424E-2</v>
      </c>
      <c r="L9" s="99"/>
      <c r="M9" s="175">
        <f t="shared" si="2"/>
        <v>3.7893367654833494E-3</v>
      </c>
    </row>
    <row r="10" spans="1:13" ht="15">
      <c r="A10" s="164">
        <v>8</v>
      </c>
      <c r="B10" s="104" t="s">
        <v>141</v>
      </c>
      <c r="C10" s="125">
        <f>'UND TF'!G10</f>
        <v>0.30243399574141577</v>
      </c>
      <c r="D10" s="126">
        <f>'UND TV'!H10</f>
        <v>2.5169933242580611</v>
      </c>
      <c r="E10" s="153">
        <f t="shared" si="0"/>
        <v>2.8194273199994768</v>
      </c>
      <c r="F10" s="99"/>
      <c r="G10" s="133">
        <v>0.19072771737120239</v>
      </c>
      <c r="H10" s="133">
        <v>2.6281075000502039</v>
      </c>
      <c r="I10" s="133">
        <v>2.8188352174214062</v>
      </c>
      <c r="J10" s="108"/>
      <c r="K10" s="150">
        <f t="shared" si="1"/>
        <v>5.9210257807063016E-4</v>
      </c>
      <c r="L10" s="99"/>
      <c r="M10" s="175">
        <f t="shared" si="2"/>
        <v>2.1005221391134368E-4</v>
      </c>
    </row>
    <row r="11" spans="1:13" ht="15">
      <c r="A11" s="164">
        <v>9</v>
      </c>
      <c r="B11" s="104" t="s">
        <v>139</v>
      </c>
      <c r="C11" s="125">
        <f>'UND TF'!G11</f>
        <v>0.18146039744484946</v>
      </c>
      <c r="D11" s="126">
        <f>'UND TV'!H11</f>
        <v>2.1574228493640524</v>
      </c>
      <c r="E11" s="153">
        <f t="shared" si="0"/>
        <v>2.3388832468089018</v>
      </c>
      <c r="F11" s="99"/>
      <c r="G11" s="133">
        <v>0.11443663042272144</v>
      </c>
      <c r="H11" s="133">
        <v>2.2526635714716035</v>
      </c>
      <c r="I11" s="133">
        <v>2.367100201894325</v>
      </c>
      <c r="J11" s="108"/>
      <c r="K11" s="150">
        <f t="shared" si="1"/>
        <v>-2.8216955085423212E-2</v>
      </c>
      <c r="L11" s="99"/>
      <c r="M11" s="175">
        <f t="shared" si="2"/>
        <v>-1.1920473439545129E-2</v>
      </c>
    </row>
    <row r="12" spans="1:13" ht="30">
      <c r="A12" s="164">
        <v>10</v>
      </c>
      <c r="B12" s="104" t="s">
        <v>9</v>
      </c>
      <c r="C12" s="125">
        <f>'UND TF'!G12</f>
        <v>0.33411755720004027</v>
      </c>
      <c r="D12" s="126">
        <f>'UND TV'!H12</f>
        <v>2.9964206241167393</v>
      </c>
      <c r="E12" s="153">
        <f t="shared" si="0"/>
        <v>3.3305381813167796</v>
      </c>
      <c r="F12" s="99"/>
      <c r="G12" s="133">
        <v>0.21070871633389976</v>
      </c>
      <c r="H12" s="133">
        <v>3.1286994048216714</v>
      </c>
      <c r="I12" s="133">
        <v>3.3394081211555711</v>
      </c>
      <c r="J12" s="108"/>
      <c r="K12" s="150">
        <f t="shared" si="1"/>
        <v>-8.8699398387914741E-3</v>
      </c>
      <c r="L12" s="99"/>
      <c r="M12" s="175">
        <f t="shared" si="2"/>
        <v>-2.6561413031846236E-3</v>
      </c>
    </row>
    <row r="13" spans="1:13" ht="15">
      <c r="A13" s="164">
        <v>11</v>
      </c>
      <c r="B13" s="47" t="s">
        <v>66</v>
      </c>
      <c r="C13" s="125">
        <f>'UND TF'!G13</f>
        <v>0.43780921288281138</v>
      </c>
      <c r="D13" s="126">
        <f>'UND TV'!H13</f>
        <v>3.5957047489400868</v>
      </c>
      <c r="E13" s="153">
        <f>(C13+D13)</f>
        <v>4.0335139618228979</v>
      </c>
      <c r="F13" s="99"/>
      <c r="G13" s="133">
        <v>0.27610107657545491</v>
      </c>
      <c r="H13" s="133">
        <v>3.7544392857860056</v>
      </c>
      <c r="I13" s="133">
        <v>4.0305403623614602</v>
      </c>
      <c r="J13" s="108"/>
      <c r="K13" s="150">
        <f t="shared" si="1"/>
        <v>2.9735994614377148E-3</v>
      </c>
      <c r="L13" s="99"/>
      <c r="M13" s="175">
        <f t="shared" si="2"/>
        <v>7.3776694787780451E-4</v>
      </c>
    </row>
    <row r="14" spans="1:13" ht="30">
      <c r="A14" s="164">
        <v>12</v>
      </c>
      <c r="B14" s="104" t="s">
        <v>82</v>
      </c>
      <c r="C14" s="125">
        <f>'UND TF'!G14</f>
        <v>0.30531431951038163</v>
      </c>
      <c r="D14" s="126">
        <f>'UND TV'!H14</f>
        <v>2.9245065291379371</v>
      </c>
      <c r="E14" s="153">
        <f t="shared" si="0"/>
        <v>3.2298208486483189</v>
      </c>
      <c r="F14" s="99"/>
      <c r="G14" s="133">
        <v>0.1925441718223567</v>
      </c>
      <c r="H14" s="133">
        <v>3.0536106191059509</v>
      </c>
      <c r="I14" s="133">
        <v>3.2461547909283075</v>
      </c>
      <c r="J14" s="108"/>
      <c r="K14" s="150">
        <f t="shared" si="1"/>
        <v>-1.6333942279988634E-2</v>
      </c>
      <c r="L14" s="99"/>
      <c r="M14" s="175">
        <f t="shared" si="2"/>
        <v>-5.0317817023499342E-3</v>
      </c>
    </row>
    <row r="15" spans="1:13" ht="15">
      <c r="A15" s="164">
        <v>13</v>
      </c>
      <c r="B15" s="104" t="s">
        <v>11</v>
      </c>
      <c r="C15" s="125">
        <f>'UND TF'!G15</f>
        <v>0.41764694650005035</v>
      </c>
      <c r="D15" s="126">
        <f>'UND TV'!H15</f>
        <v>3.056349036599074</v>
      </c>
      <c r="E15" s="153">
        <f t="shared" si="0"/>
        <v>3.4739959830991243</v>
      </c>
      <c r="F15" s="99"/>
      <c r="G15" s="133">
        <v>0.26338589541737473</v>
      </c>
      <c r="H15" s="133">
        <v>3.191273392918105</v>
      </c>
      <c r="I15" s="133">
        <v>3.4546592883354799</v>
      </c>
      <c r="J15" s="108"/>
      <c r="K15" s="150">
        <f t="shared" si="1"/>
        <v>1.9336694763644413E-2</v>
      </c>
      <c r="L15" s="99"/>
      <c r="M15" s="175">
        <f t="shared" si="2"/>
        <v>5.5972798327562998E-3</v>
      </c>
    </row>
    <row r="16" spans="1:13" ht="15">
      <c r="A16" s="164">
        <v>14</v>
      </c>
      <c r="B16" s="104" t="s">
        <v>12</v>
      </c>
      <c r="C16" s="125">
        <f>'UND TF'!G16</f>
        <v>0.24770784413106434</v>
      </c>
      <c r="D16" s="126">
        <f>'UND TV'!H16</f>
        <v>1.8050437839679236</v>
      </c>
      <c r="E16" s="153">
        <f t="shared" si="0"/>
        <v>2.0527516280989881</v>
      </c>
      <c r="F16" s="99"/>
      <c r="G16" s="133">
        <v>0.15621508279927052</v>
      </c>
      <c r="H16" s="133">
        <v>1.8847285214645748</v>
      </c>
      <c r="I16" s="133">
        <v>2.0409436042638451</v>
      </c>
      <c r="J16" s="108"/>
      <c r="K16" s="150">
        <f t="shared" si="1"/>
        <v>1.1808023835143011E-2</v>
      </c>
      <c r="L16" s="99"/>
      <c r="M16" s="175">
        <f t="shared" si="2"/>
        <v>5.7855708557915239E-3</v>
      </c>
    </row>
    <row r="17" spans="1:15" ht="15">
      <c r="A17" s="164">
        <v>15</v>
      </c>
      <c r="B17" s="104" t="s">
        <v>83</v>
      </c>
      <c r="C17" s="125">
        <f>'UND TF'!G17</f>
        <v>0.27363075805175713</v>
      </c>
      <c r="D17" s="126">
        <f>'UND TV'!H17</f>
        <v>2.1574228493640524</v>
      </c>
      <c r="E17" s="153">
        <f t="shared" si="0"/>
        <v>2.4310536074158096</v>
      </c>
      <c r="F17" s="99"/>
      <c r="G17" s="133">
        <v>0.1725631728596593</v>
      </c>
      <c r="H17" s="133">
        <v>2.2526635714716035</v>
      </c>
      <c r="I17" s="133">
        <v>2.4252267443312627</v>
      </c>
      <c r="J17" s="108"/>
      <c r="K17" s="150">
        <f t="shared" si="1"/>
        <v>5.8268630845468294E-3</v>
      </c>
      <c r="L17" s="99"/>
      <c r="M17" s="175">
        <f t="shared" si="2"/>
        <v>2.4026054875761899E-3</v>
      </c>
    </row>
    <row r="18" spans="1:15" ht="15">
      <c r="A18" s="164">
        <v>16</v>
      </c>
      <c r="B18" s="104" t="s">
        <v>13</v>
      </c>
      <c r="C18" s="125">
        <f>'UND TF'!G18</f>
        <v>2.356104843014077</v>
      </c>
      <c r="D18" s="126">
        <f>'UND TV'!H18</f>
        <v>18.697664694488452</v>
      </c>
      <c r="E18" s="153">
        <f t="shared" si="0"/>
        <v>21.053769537502529</v>
      </c>
      <c r="F18" s="99"/>
      <c r="G18" s="133">
        <v>1.4858597410442242</v>
      </c>
      <c r="H18" s="133">
        <v>19.523084286087229</v>
      </c>
      <c r="I18" s="133">
        <v>21.008944027131452</v>
      </c>
      <c r="J18" s="108"/>
      <c r="K18" s="150">
        <f t="shared" si="1"/>
        <v>4.4825510371076405E-2</v>
      </c>
      <c r="L18" s="99"/>
      <c r="M18" s="175">
        <f t="shared" si="2"/>
        <v>2.1336393829783956E-3</v>
      </c>
    </row>
    <row r="19" spans="1:15" ht="15">
      <c r="A19" s="164">
        <v>17</v>
      </c>
      <c r="B19" s="104" t="s">
        <v>14</v>
      </c>
      <c r="C19" s="125">
        <f>'UND TF'!G19</f>
        <v>1.2615818108070487</v>
      </c>
      <c r="D19" s="126">
        <f>'UND TV'!H19</f>
        <v>9.2289755222795566</v>
      </c>
      <c r="E19" s="153">
        <f t="shared" si="0"/>
        <v>10.490557333086606</v>
      </c>
      <c r="F19" s="99"/>
      <c r="G19" s="133">
        <v>0.79560704960558715</v>
      </c>
      <c r="H19" s="133">
        <v>9.6363941668507476</v>
      </c>
      <c r="I19" s="133">
        <v>10.432001216456335</v>
      </c>
      <c r="J19" s="108"/>
      <c r="K19" s="150">
        <f t="shared" si="1"/>
        <v>5.8556116630271049E-2</v>
      </c>
      <c r="L19" s="99"/>
      <c r="M19" s="175">
        <f t="shared" si="2"/>
        <v>5.6131240224454341E-3</v>
      </c>
    </row>
    <row r="20" spans="1:15" ht="15">
      <c r="A20" s="164">
        <v>18</v>
      </c>
      <c r="B20" s="104" t="s">
        <v>15</v>
      </c>
      <c r="C20" s="125">
        <f>'UND TF'!G20</f>
        <v>0.80649065531044206</v>
      </c>
      <c r="D20" s="126">
        <f>'UND TV'!H20</f>
        <v>2.9245065291379371</v>
      </c>
      <c r="E20" s="153">
        <f t="shared" si="0"/>
        <v>3.7309971844483791</v>
      </c>
      <c r="F20" s="99"/>
      <c r="G20" s="133">
        <v>0.50860724632320631</v>
      </c>
      <c r="H20" s="133">
        <v>3.0536106191059509</v>
      </c>
      <c r="I20" s="133">
        <v>3.5622178654291572</v>
      </c>
      <c r="J20" s="108"/>
      <c r="K20" s="150">
        <f t="shared" si="1"/>
        <v>0.16877931901922194</v>
      </c>
      <c r="L20" s="99"/>
      <c r="M20" s="175">
        <f t="shared" si="2"/>
        <v>4.7380403275499347E-2</v>
      </c>
    </row>
    <row r="21" spans="1:15" ht="15">
      <c r="A21" s="164">
        <v>19</v>
      </c>
      <c r="B21" s="104" t="s">
        <v>16</v>
      </c>
      <c r="C21" s="125">
        <f>'UND TF'!G21</f>
        <v>0.86985777822769106</v>
      </c>
      <c r="D21" s="126">
        <f>'UND TV'!H21</f>
        <v>7.1914094978801737</v>
      </c>
      <c r="E21" s="153">
        <f t="shared" si="0"/>
        <v>8.0612672761078645</v>
      </c>
      <c r="F21" s="99"/>
      <c r="G21" s="133">
        <v>0.54856924424860121</v>
      </c>
      <c r="H21" s="133">
        <v>7.5088785715720112</v>
      </c>
      <c r="I21" s="133">
        <v>8.0574478158206126</v>
      </c>
      <c r="J21" s="108"/>
      <c r="K21" s="150">
        <f t="shared" si="1"/>
        <v>3.8194602872518857E-3</v>
      </c>
      <c r="L21" s="99"/>
      <c r="M21" s="175">
        <f t="shared" si="2"/>
        <v>4.740285478178914E-4</v>
      </c>
    </row>
    <row r="22" spans="1:15" ht="15">
      <c r="A22" s="164">
        <v>20</v>
      </c>
      <c r="B22" s="104" t="s">
        <v>17</v>
      </c>
      <c r="C22" s="125">
        <f>'UND TF'!G22</f>
        <v>3.1337922606348609</v>
      </c>
      <c r="D22" s="126">
        <f>'UND TV'!H22</f>
        <v>12.944537096184312</v>
      </c>
      <c r="E22" s="153">
        <f t="shared" si="0"/>
        <v>16.078329356819175</v>
      </c>
      <c r="F22" s="99"/>
      <c r="G22" s="133">
        <v>1.9763024428558877</v>
      </c>
      <c r="H22" s="133">
        <v>13.515981428829621</v>
      </c>
      <c r="I22" s="133">
        <v>15.492283871685508</v>
      </c>
      <c r="J22" s="108"/>
      <c r="K22" s="150">
        <f t="shared" si="1"/>
        <v>0.58604548513366694</v>
      </c>
      <c r="L22" s="99"/>
      <c r="M22" s="175">
        <f t="shared" si="2"/>
        <v>3.7828217581576444E-2</v>
      </c>
    </row>
    <row r="23" spans="1:15" ht="15.75" thickBot="1">
      <c r="A23" s="165">
        <v>21</v>
      </c>
      <c r="B23" s="166" t="s">
        <v>18</v>
      </c>
      <c r="C23" s="167">
        <f>'UND TF'!G23</f>
        <v>0.50405665956902634</v>
      </c>
      <c r="D23" s="168">
        <f>'UND TV'!H23</f>
        <v>3.6987816184097029</v>
      </c>
      <c r="E23" s="154">
        <f t="shared" si="0"/>
        <v>4.2028382779787297</v>
      </c>
      <c r="F23" s="99"/>
      <c r="G23" s="133">
        <v>0.317879528952004</v>
      </c>
      <c r="H23" s="133">
        <v>3.8620665453118712</v>
      </c>
      <c r="I23" s="133">
        <v>4.1799460742638752</v>
      </c>
      <c r="J23" s="108"/>
      <c r="K23" s="150">
        <f t="shared" si="1"/>
        <v>2.2892203714854453E-2</v>
      </c>
      <c r="L23" s="99"/>
      <c r="M23" s="175">
        <f t="shared" si="2"/>
        <v>5.4766744135295977E-3</v>
      </c>
      <c r="O23" s="5"/>
    </row>
  </sheetData>
  <mergeCells count="1">
    <mergeCell ref="A1:E1"/>
  </mergeCells>
  <phoneticPr fontId="0" type="noConversion"/>
  <printOptions gridLines="1"/>
  <pageMargins left="0.35433070866141736" right="0.15748031496062992" top="0.19685039370078741" bottom="0.98425196850393704" header="0.15748031496062992" footer="0.51181102362204722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A5506-6849-4FB2-A0F2-CF743532E4DB}">
  <dimension ref="A2:F24"/>
  <sheetViews>
    <sheetView workbookViewId="0">
      <selection activeCell="A2" sqref="A2:F24"/>
    </sheetView>
  </sheetViews>
  <sheetFormatPr defaultRowHeight="12.75"/>
  <sheetData>
    <row r="2" spans="1:6" ht="27.75" customHeight="1">
      <c r="A2" s="209" t="s">
        <v>169</v>
      </c>
      <c r="B2" s="210"/>
      <c r="C2" s="210"/>
      <c r="D2" s="210"/>
      <c r="E2" s="210"/>
      <c r="F2" s="210"/>
    </row>
    <row r="3" spans="1:6" ht="25.5">
      <c r="A3" s="169" t="s">
        <v>51</v>
      </c>
      <c r="B3" s="211" t="s">
        <v>52</v>
      </c>
      <c r="C3" s="211"/>
      <c r="D3" s="212"/>
      <c r="E3" s="170" t="s">
        <v>170</v>
      </c>
      <c r="F3" s="170" t="s">
        <v>171</v>
      </c>
    </row>
    <row r="4" spans="1:6" ht="15">
      <c r="A4" s="171">
        <v>1</v>
      </c>
      <c r="B4" s="213" t="s">
        <v>56</v>
      </c>
      <c r="C4" s="214"/>
      <c r="D4" s="214"/>
      <c r="E4" s="172">
        <v>0.52</v>
      </c>
      <c r="F4" s="173">
        <v>6.83</v>
      </c>
    </row>
    <row r="5" spans="1:6" ht="15">
      <c r="A5" s="174">
        <v>2</v>
      </c>
      <c r="B5" s="205" t="s">
        <v>100</v>
      </c>
      <c r="C5" s="206"/>
      <c r="D5" s="206"/>
      <c r="E5" s="172">
        <v>0.74</v>
      </c>
      <c r="F5" s="173">
        <v>7</v>
      </c>
    </row>
    <row r="6" spans="1:6" ht="15">
      <c r="A6" s="174">
        <v>3</v>
      </c>
      <c r="B6" s="205" t="s">
        <v>58</v>
      </c>
      <c r="C6" s="206"/>
      <c r="D6" s="206"/>
      <c r="E6" s="172">
        <v>0.75</v>
      </c>
      <c r="F6" s="173">
        <v>7</v>
      </c>
    </row>
    <row r="7" spans="1:6" ht="15">
      <c r="A7" s="174">
        <v>4</v>
      </c>
      <c r="B7" s="205" t="s">
        <v>59</v>
      </c>
      <c r="C7" s="206"/>
      <c r="D7" s="206"/>
      <c r="E7" s="172">
        <v>0.52</v>
      </c>
      <c r="F7" s="173">
        <v>5</v>
      </c>
    </row>
    <row r="8" spans="1:6" ht="15">
      <c r="A8" s="174">
        <v>5</v>
      </c>
      <c r="B8" s="205" t="s">
        <v>60</v>
      </c>
      <c r="C8" s="206"/>
      <c r="D8" s="206"/>
      <c r="E8" s="172">
        <v>1.55</v>
      </c>
      <c r="F8" s="173">
        <v>14</v>
      </c>
    </row>
    <row r="9" spans="1:6" ht="15">
      <c r="A9" s="174">
        <v>6</v>
      </c>
      <c r="B9" s="205" t="s">
        <v>61</v>
      </c>
      <c r="C9" s="206"/>
      <c r="D9" s="206"/>
      <c r="E9" s="172">
        <v>0.99</v>
      </c>
      <c r="F9" s="173">
        <v>9</v>
      </c>
    </row>
    <row r="10" spans="1:6" ht="15">
      <c r="A10" s="174">
        <v>7</v>
      </c>
      <c r="B10" s="205" t="s">
        <v>62</v>
      </c>
      <c r="C10" s="206"/>
      <c r="D10" s="206"/>
      <c r="E10" s="172">
        <v>1.2</v>
      </c>
      <c r="F10" s="173">
        <v>11</v>
      </c>
    </row>
    <row r="11" spans="1:6" ht="15">
      <c r="A11" s="174">
        <v>8</v>
      </c>
      <c r="B11" s="205" t="s">
        <v>63</v>
      </c>
      <c r="C11" s="206"/>
      <c r="D11" s="206"/>
      <c r="E11" s="172">
        <v>1.05</v>
      </c>
      <c r="F11" s="173">
        <v>10.5</v>
      </c>
    </row>
    <row r="12" spans="1:6" ht="15">
      <c r="A12" s="174">
        <v>9</v>
      </c>
      <c r="B12" s="205" t="s">
        <v>64</v>
      </c>
      <c r="C12" s="206"/>
      <c r="D12" s="206"/>
      <c r="E12" s="172">
        <v>0.63</v>
      </c>
      <c r="F12" s="173">
        <v>9</v>
      </c>
    </row>
    <row r="13" spans="1:6" ht="15">
      <c r="A13" s="174">
        <v>10</v>
      </c>
      <c r="B13" s="205" t="s">
        <v>65</v>
      </c>
      <c r="C13" s="206"/>
      <c r="D13" s="206"/>
      <c r="E13" s="172">
        <v>1.1599999999999999</v>
      </c>
      <c r="F13" s="173">
        <v>12.5</v>
      </c>
    </row>
    <row r="14" spans="1:6" ht="15">
      <c r="A14" s="174">
        <v>11</v>
      </c>
      <c r="B14" s="205" t="s">
        <v>66</v>
      </c>
      <c r="C14" s="206"/>
      <c r="D14" s="206"/>
      <c r="E14" s="172">
        <v>1.52</v>
      </c>
      <c r="F14" s="173">
        <v>15</v>
      </c>
    </row>
    <row r="15" spans="1:6" ht="15">
      <c r="A15" s="174">
        <v>12</v>
      </c>
      <c r="B15" s="205" t="s">
        <v>172</v>
      </c>
      <c r="C15" s="206"/>
      <c r="D15" s="206"/>
      <c r="E15" s="172">
        <v>1.06</v>
      </c>
      <c r="F15" s="173">
        <v>12.2</v>
      </c>
    </row>
    <row r="16" spans="1:6" ht="15">
      <c r="A16" s="174">
        <v>13</v>
      </c>
      <c r="B16" s="205" t="s">
        <v>68</v>
      </c>
      <c r="C16" s="206"/>
      <c r="D16" s="206"/>
      <c r="E16" s="172">
        <v>1.45</v>
      </c>
      <c r="F16" s="173">
        <v>12.75</v>
      </c>
    </row>
    <row r="17" spans="1:6" ht="15">
      <c r="A17" s="174">
        <v>14</v>
      </c>
      <c r="B17" s="205" t="s">
        <v>69</v>
      </c>
      <c r="C17" s="206"/>
      <c r="D17" s="206"/>
      <c r="E17" s="172">
        <v>0.86</v>
      </c>
      <c r="F17" s="173">
        <v>7.53</v>
      </c>
    </row>
    <row r="18" spans="1:6" ht="15">
      <c r="A18" s="174">
        <v>15</v>
      </c>
      <c r="B18" s="205" t="s">
        <v>70</v>
      </c>
      <c r="C18" s="206"/>
      <c r="D18" s="206"/>
      <c r="E18" s="172">
        <v>0.95</v>
      </c>
      <c r="F18" s="173">
        <v>9</v>
      </c>
    </row>
    <row r="19" spans="1:6" ht="15">
      <c r="A19" s="174">
        <v>16</v>
      </c>
      <c r="B19" s="205" t="s">
        <v>173</v>
      </c>
      <c r="C19" s="206"/>
      <c r="D19" s="206"/>
      <c r="E19" s="172">
        <v>8.18</v>
      </c>
      <c r="F19" s="173">
        <v>78</v>
      </c>
    </row>
    <row r="20" spans="1:6" ht="15">
      <c r="A20" s="174">
        <v>17</v>
      </c>
      <c r="B20" s="205" t="s">
        <v>72</v>
      </c>
      <c r="C20" s="206"/>
      <c r="D20" s="206"/>
      <c r="E20" s="172">
        <v>4.38</v>
      </c>
      <c r="F20" s="173">
        <v>38.5</v>
      </c>
    </row>
    <row r="21" spans="1:6" ht="15">
      <c r="A21" s="174">
        <v>18</v>
      </c>
      <c r="B21" s="205" t="s">
        <v>73</v>
      </c>
      <c r="C21" s="206"/>
      <c r="D21" s="206"/>
      <c r="E21" s="172">
        <v>2.8</v>
      </c>
      <c r="F21" s="173">
        <v>12.2</v>
      </c>
    </row>
    <row r="22" spans="1:6" ht="15">
      <c r="A22" s="174">
        <v>19</v>
      </c>
      <c r="B22" s="205" t="s">
        <v>74</v>
      </c>
      <c r="C22" s="206"/>
      <c r="D22" s="206"/>
      <c r="E22" s="172">
        <v>3.02</v>
      </c>
      <c r="F22" s="173">
        <v>30</v>
      </c>
    </row>
    <row r="23" spans="1:6" ht="15">
      <c r="A23" s="174">
        <v>20</v>
      </c>
      <c r="B23" s="205" t="s">
        <v>174</v>
      </c>
      <c r="C23" s="206"/>
      <c r="D23" s="206"/>
      <c r="E23" s="172">
        <v>10.88</v>
      </c>
      <c r="F23" s="173">
        <v>54</v>
      </c>
    </row>
    <row r="24" spans="1:6" ht="15">
      <c r="A24" s="174">
        <v>21</v>
      </c>
      <c r="B24" s="207" t="s">
        <v>175</v>
      </c>
      <c r="C24" s="208"/>
      <c r="D24" s="208"/>
      <c r="E24" s="172">
        <v>1.75</v>
      </c>
      <c r="F24" s="173">
        <v>15.43</v>
      </c>
    </row>
  </sheetData>
  <mergeCells count="23">
    <mergeCell ref="B7:D7"/>
    <mergeCell ref="A2:F2"/>
    <mergeCell ref="B3:D3"/>
    <mergeCell ref="B4:D4"/>
    <mergeCell ref="B5:D5"/>
    <mergeCell ref="B6:D6"/>
    <mergeCell ref="B19:D19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20:D20"/>
    <mergeCell ref="B21:D21"/>
    <mergeCell ref="B22:D22"/>
    <mergeCell ref="B23:D23"/>
    <mergeCell ref="B24:D2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9" tint="0.79998168889431442"/>
  </sheetPr>
  <dimension ref="B2:H23"/>
  <sheetViews>
    <sheetView workbookViewId="0">
      <selection activeCell="H3" sqref="H3:H23"/>
    </sheetView>
  </sheetViews>
  <sheetFormatPr defaultRowHeight="12.75"/>
  <cols>
    <col min="2" max="2" width="13.7109375" bestFit="1" customWidth="1"/>
    <col min="3" max="3" width="19.85546875" bestFit="1" customWidth="1"/>
  </cols>
  <sheetData>
    <row r="2" spans="2:8" ht="15">
      <c r="B2" s="128" t="s">
        <v>125</v>
      </c>
      <c r="C2" s="128" t="s">
        <v>126</v>
      </c>
      <c r="G2" s="128" t="s">
        <v>41</v>
      </c>
      <c r="H2" s="128" t="s">
        <v>44</v>
      </c>
    </row>
    <row r="3" spans="2:8">
      <c r="B3" s="132">
        <v>0.39976581333881311</v>
      </c>
      <c r="C3" s="132">
        <v>106.56162489631907</v>
      </c>
      <c r="G3">
        <v>0.14977683598622496</v>
      </c>
      <c r="H3">
        <v>1.6372442290173863</v>
      </c>
    </row>
    <row r="4" spans="2:8">
      <c r="B4" s="132">
        <v>0.46905855431754068</v>
      </c>
      <c r="C4" s="132">
        <v>173.29718796270075</v>
      </c>
      <c r="G4">
        <v>0.21314395890347398</v>
      </c>
      <c r="H4">
        <v>1.677995549505374</v>
      </c>
    </row>
    <row r="5" spans="2:8">
      <c r="B5" s="132">
        <v>0.53302108445175078</v>
      </c>
      <c r="C5" s="132">
        <v>220.65791013884254</v>
      </c>
      <c r="G5">
        <v>0.21602428267243984</v>
      </c>
      <c r="H5">
        <v>1.677995549505374</v>
      </c>
    </row>
    <row r="6" spans="2:8">
      <c r="B6" s="132">
        <v>0.57566277120789089</v>
      </c>
      <c r="C6" s="132">
        <v>279.85881285901979</v>
      </c>
      <c r="G6">
        <v>0.14977683598622496</v>
      </c>
      <c r="H6">
        <v>1.1985682496466956</v>
      </c>
    </row>
    <row r="7" spans="2:8">
      <c r="B7" s="132">
        <v>0.59165340374144337</v>
      </c>
      <c r="C7" s="132">
        <v>349.82351607377473</v>
      </c>
      <c r="G7">
        <v>0.446450184189709</v>
      </c>
      <c r="H7">
        <v>3.355991099010748</v>
      </c>
    </row>
    <row r="8" spans="2:8">
      <c r="B8" s="132">
        <v>0.58632319289692592</v>
      </c>
      <c r="C8" s="132">
        <v>403.64251854666315</v>
      </c>
      <c r="G8">
        <v>0.2851520531276206</v>
      </c>
      <c r="H8">
        <v>2.1574228493640524</v>
      </c>
    </row>
    <row r="9" spans="2:8">
      <c r="G9">
        <v>0.34563885227590374</v>
      </c>
      <c r="H9">
        <v>2.6368501492227305</v>
      </c>
    </row>
    <row r="10" spans="2:8">
      <c r="G10">
        <v>0.30243399574141577</v>
      </c>
      <c r="H10">
        <v>2.5169933242580611</v>
      </c>
    </row>
    <row r="11" spans="2:8">
      <c r="G11">
        <v>0.18146039744484946</v>
      </c>
      <c r="H11">
        <v>2.1574228493640524</v>
      </c>
    </row>
    <row r="12" spans="2:8">
      <c r="G12">
        <v>0.33411755720004027</v>
      </c>
      <c r="H12">
        <v>2.9964206241167393</v>
      </c>
    </row>
    <row r="13" spans="2:8">
      <c r="G13">
        <v>0.43780921288281138</v>
      </c>
      <c r="H13">
        <v>3.5957047489400868</v>
      </c>
    </row>
    <row r="14" spans="2:8">
      <c r="G14">
        <v>0.30531431951038163</v>
      </c>
      <c r="H14">
        <v>2.9245065291379371</v>
      </c>
    </row>
    <row r="15" spans="2:8">
      <c r="G15">
        <v>0.41764694650005035</v>
      </c>
      <c r="H15">
        <v>3.056349036599074</v>
      </c>
    </row>
    <row r="16" spans="2:8">
      <c r="G16">
        <v>0.24770784413106434</v>
      </c>
      <c r="H16">
        <v>1.8050437839679236</v>
      </c>
    </row>
    <row r="17" spans="7:8">
      <c r="G17">
        <v>0.27363075805175713</v>
      </c>
      <c r="H17">
        <v>2.1574228493640524</v>
      </c>
    </row>
    <row r="18" spans="7:8">
      <c r="G18">
        <v>2.356104843014077</v>
      </c>
      <c r="H18">
        <v>18.697664694488452</v>
      </c>
    </row>
    <row r="19" spans="7:8">
      <c r="G19">
        <v>1.2615818108070487</v>
      </c>
      <c r="H19">
        <v>9.2289755222795566</v>
      </c>
    </row>
    <row r="20" spans="7:8">
      <c r="G20">
        <v>0.80649065531044206</v>
      </c>
      <c r="H20">
        <v>2.9245065291379371</v>
      </c>
    </row>
    <row r="21" spans="7:8">
      <c r="G21">
        <v>0.86985777822769106</v>
      </c>
      <c r="H21">
        <v>7.1914094978801737</v>
      </c>
    </row>
    <row r="22" spans="7:8">
      <c r="G22">
        <v>3.1337922606348609</v>
      </c>
      <c r="H22">
        <v>12.944537096184312</v>
      </c>
    </row>
    <row r="23" spans="7:8">
      <c r="G23">
        <v>0.50405665956902634</v>
      </c>
      <c r="H23">
        <v>3.6987816184097029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13</vt:i4>
      </vt:variant>
      <vt:variant>
        <vt:lpstr>Intervalli denominati</vt:lpstr>
      </vt:variant>
      <vt:variant>
        <vt:i4>1</vt:i4>
      </vt:variant>
    </vt:vector>
  </HeadingPairs>
  <TitlesOfParts>
    <vt:vector size="14" baseType="lpstr">
      <vt:lpstr>PEF 2026</vt:lpstr>
      <vt:lpstr>Dati iniziali</vt:lpstr>
      <vt:lpstr>Produzione rifiuti teorica</vt:lpstr>
      <vt:lpstr>UD Scelta Coefficienti</vt:lpstr>
      <vt:lpstr>UD TF</vt:lpstr>
      <vt:lpstr>UD TV</vt:lpstr>
      <vt:lpstr>TARIFFE UD 2026</vt:lpstr>
      <vt:lpstr>UND Scelta Coefficienti</vt:lpstr>
      <vt:lpstr>UND TF</vt:lpstr>
      <vt:lpstr>UND TV</vt:lpstr>
      <vt:lpstr>TARIFFE UND 2026</vt:lpstr>
      <vt:lpstr>SCELTA COEFFICIENTI</vt:lpstr>
      <vt:lpstr>import Datagraph</vt:lpstr>
      <vt:lpstr>'TARIFFE UND 2026'!Area_stampa</vt:lpstr>
    </vt:vector>
  </TitlesOfParts>
  <Company>Comune di anzio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Luigi D'aprano</dc:creator>
  <cp:lastModifiedBy>Giulia Barrottu</cp:lastModifiedBy>
  <cp:lastPrinted>2021-05-05T15:07:16Z</cp:lastPrinted>
  <dcterms:created xsi:type="dcterms:W3CDTF">2012-08-24T10:43:35Z</dcterms:created>
  <dcterms:modified xsi:type="dcterms:W3CDTF">2026-06-16T09:36:58Z</dcterms:modified>
</cp:coreProperties>
</file>